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5.xml" ContentType="application/vnd.openxmlformats-officedocument.spreadsheetml.chartsheet+xml"/>
  <Override PartName="/xl/worksheets/sheet17.xml" ContentType="application/vnd.openxmlformats-officedocument.spreadsheetml.worksheet+xml"/>
  <Override PartName="/xl/chartsheets/sheet6.xml" ContentType="application/vnd.openxmlformats-officedocument.spreadsheetml.chartsheet+xml"/>
  <Override PartName="/xl/worksheets/sheet18.xml" ContentType="application/vnd.openxmlformats-officedocument.spreadsheetml.worksheet+xml"/>
  <Override PartName="/xl/chartsheets/sheet7.xml" ContentType="application/vnd.openxmlformats-officedocument.spreadsheetml.chartsheet+xml"/>
  <Override PartName="/xl/worksheets/sheet19.xml" ContentType="application/vnd.openxmlformats-officedocument.spreadsheetml.worksheet+xml"/>
  <Override PartName="/xl/chartsheets/sheet8.xml" ContentType="application/vnd.openxmlformats-officedocument.spreadsheetml.chartsheet+xml"/>
  <Override PartName="/xl/worksheets/sheet20.xml" ContentType="application/vnd.openxmlformats-officedocument.spreadsheetml.worksheet+xml"/>
  <Override PartName="/xl/chartsheets/sheet9.xml" ContentType="application/vnd.openxmlformats-officedocument.spreadsheetml.chartsheet+xml"/>
  <Override PartName="/xl/worksheets/sheet21.xml" ContentType="application/vnd.openxmlformats-officedocument.spreadsheetml.worksheet+xml"/>
  <Override PartName="/xl/chartsheets/sheet10.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1.xml" ContentType="application/vnd.openxmlformats-officedocument.spreadsheetml.chartsheet+xml"/>
  <Override PartName="/xl/worksheets/sheet28.xml" ContentType="application/vnd.openxmlformats-officedocument.spreadsheetml.worksheet+xml"/>
  <Override PartName="/xl/chartsheets/sheet12.xml" ContentType="application/vnd.openxmlformats-officedocument.spreadsheetml.chart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heets/sheet13.xml" ContentType="application/vnd.openxmlformats-officedocument.spreadsheetml.chartsheet+xml"/>
  <Override PartName="/xl/worksheets/sheet35.xml" ContentType="application/vnd.openxmlformats-officedocument.spreadsheetml.worksheet+xml"/>
  <Override PartName="/xl/chartsheets/sheet14.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drawings/drawing17.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bdcbbn.sharepoint.com/sites/EconomicsResearchandStatistics/Shared Documents/Statistics/BDCB SB/"/>
    </mc:Choice>
  </mc:AlternateContent>
  <xr:revisionPtr revIDLastSave="438" documentId="8_{21CD8F98-02FD-4FF3-9C61-34C912F70BF1}" xr6:coauthVersionLast="47" xr6:coauthVersionMax="47" xr10:uidLastSave="{053086A1-544C-482F-8C50-F9FCE592441F}"/>
  <bookViews>
    <workbookView xWindow="-110" yWindow="-110" windowWidth="19420" windowHeight="10300" tabRatio="776" firstSheet="24" activeTab="31" xr2:uid="{00000000-000D-0000-FFFF-FFFF00000000}"/>
  </bookViews>
  <sheets>
    <sheet name="CONTENTS" sheetId="36" r:id="rId1"/>
    <sheet name="GLOSSARY" sheetId="37" r:id="rId2"/>
    <sheet name="1.1" sheetId="2" r:id="rId3"/>
    <sheet name="Chart 1.1" sheetId="60" r:id="rId4"/>
    <sheet name="1.2.1" sheetId="4" state="hidden" r:id="rId5"/>
    <sheet name="1.7" sheetId="5" state="hidden" r:id="rId6"/>
    <sheet name="1.2" sheetId="3" r:id="rId7"/>
    <sheet name="Chart 1.2" sheetId="59" r:id="rId8"/>
    <sheet name="1.3" sheetId="6" r:id="rId9"/>
    <sheet name="1.4" sheetId="7" r:id="rId10"/>
    <sheet name="1.5" sheetId="28" r:id="rId11"/>
    <sheet name="1.5.1" sheetId="13" r:id="rId12"/>
    <sheet name="2.1" sheetId="8" r:id="rId13"/>
    <sheet name="2.2" sheetId="9" r:id="rId14"/>
    <sheet name="Chart 2.1 &amp; 2.2" sheetId="58" r:id="rId15"/>
    <sheet name="2.3" sheetId="10" r:id="rId16"/>
    <sheet name="Chart 2.3" sheetId="57" r:id="rId17"/>
    <sheet name="2.4" sheetId="11" r:id="rId18"/>
    <sheet name="2.5" sheetId="33" r:id="rId19"/>
    <sheet name="2.6" sheetId="32" r:id="rId20"/>
    <sheet name="Chart 2.6" sheetId="56" r:id="rId21"/>
    <sheet name="3.1" sheetId="15" r:id="rId22"/>
    <sheet name="Chart 3.1" sheetId="55" r:id="rId23"/>
    <sheet name="3.2" sheetId="16" r:id="rId24"/>
    <sheet name="Chart 3.2" sheetId="54" r:id="rId25"/>
    <sheet name="3.3" sheetId="17" r:id="rId26"/>
    <sheet name="Chart 3.3" sheetId="53" r:id="rId27"/>
    <sheet name="4.1" sheetId="38" r:id="rId28"/>
    <sheet name="Chart 4.1" sheetId="52" r:id="rId29"/>
    <sheet name="4.2" sheetId="39" r:id="rId30"/>
    <sheet name="Chart 4.2" sheetId="51" r:id="rId31"/>
    <sheet name="4.3" sheetId="40" r:id="rId32"/>
    <sheet name="Chart 4.3" sheetId="74" r:id="rId33"/>
    <sheet name="4.4" sheetId="41" r:id="rId34"/>
    <sheet name="4.5" sheetId="42" r:id="rId35"/>
    <sheet name="4.6" sheetId="43" r:id="rId36"/>
    <sheet name="4.7" sheetId="47" r:id="rId37"/>
    <sheet name="Chart 4.7" sheetId="49" r:id="rId38"/>
    <sheet name=" 5.1" sheetId="65" r:id="rId39"/>
    <sheet name="Chart 5.1" sheetId="72" r:id="rId40"/>
    <sheet name="5.2 " sheetId="67" r:id="rId41"/>
    <sheet name="Chart 5.2" sheetId="68" r:id="rId42"/>
    <sheet name=" 5.3" sheetId="69" r:id="rId43"/>
    <sheet name="6.1" sheetId="12" r:id="rId44"/>
    <sheet name="5.1" sheetId="1" state="hidden" r:id="rId45"/>
    <sheet name="5.2" sheetId="21" state="hidden" r:id="rId46"/>
    <sheet name="Chart 6.1" sheetId="71" r:id="rId47"/>
    <sheet name=" 6.2" sheetId="14" r:id="rId48"/>
    <sheet name="Chart 6.2" sheetId="73" r:id="rId49"/>
    <sheet name="6.3" sheetId="61" r:id="rId50"/>
    <sheet name="2.7" sheetId="34" state="hidden" r:id="rId51"/>
  </sheets>
  <definedNames>
    <definedName name="_xlnm.Print_Area" localSheetId="47">' 6.2'!$A$1:$R$220</definedName>
    <definedName name="_xlnm.Print_Area" localSheetId="2">'1.1'!$A$1:$G$190</definedName>
    <definedName name="_xlnm.Print_Area" localSheetId="10">'1.5'!$A$1:$H$179</definedName>
    <definedName name="_xlnm.Print_Area" localSheetId="11">'1.5.1'!$A$1:$F$179</definedName>
    <definedName name="_xlnm.Print_Area" localSheetId="21">'3.1'!$A$1:$I$65</definedName>
    <definedName name="_xlnm.Print_Area" localSheetId="43">'6.1'!$A$1:$F$182</definedName>
    <definedName name="_xlnm.Print_Titles" localSheetId="0">CONTENTS!$1:$2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42" l="1"/>
  <c r="J47" i="41"/>
  <c r="V47" i="41"/>
  <c r="P47" i="41"/>
  <c r="D47" i="41"/>
  <c r="C46" i="39"/>
  <c r="C47" i="41" l="1"/>
  <c r="C46" i="38" l="1"/>
  <c r="G63" i="17" l="1"/>
  <c r="D63" i="17"/>
  <c r="G63" i="16"/>
  <c r="D63" i="16"/>
  <c r="G63" i="15"/>
  <c r="D63" i="15"/>
  <c r="C63" i="17" l="1"/>
  <c r="C63" i="16"/>
  <c r="C63" i="15"/>
  <c r="P65" i="10" l="1"/>
  <c r="F65" i="10"/>
  <c r="L65" i="10"/>
  <c r="F179" i="3"/>
  <c r="F178" i="3"/>
  <c r="F177" i="3"/>
  <c r="E65" i="10" l="1"/>
  <c r="D65" i="10" s="1"/>
  <c r="C65" i="10"/>
  <c r="C63" i="11" l="1"/>
  <c r="I178" i="9"/>
  <c r="I177" i="9"/>
  <c r="I176" i="9"/>
  <c r="D178" i="9"/>
  <c r="D177" i="9"/>
  <c r="D176" i="9"/>
  <c r="F178" i="8"/>
  <c r="C178" i="8" s="1"/>
  <c r="F177" i="8"/>
  <c r="C177" i="8" s="1"/>
  <c r="F176" i="8"/>
  <c r="C176" i="8" s="1"/>
  <c r="C177" i="9" l="1"/>
  <c r="C176" i="9"/>
  <c r="C178" i="9"/>
  <c r="C178" i="7"/>
  <c r="C177" i="7"/>
  <c r="C176" i="7"/>
  <c r="C178" i="6"/>
  <c r="C177" i="6"/>
  <c r="C176" i="6"/>
  <c r="H179" i="3"/>
  <c r="H178" i="3"/>
  <c r="H177" i="3"/>
  <c r="C190" i="2" l="1"/>
  <c r="G190" i="2" s="1"/>
  <c r="C189" i="2"/>
  <c r="G189" i="2" s="1"/>
  <c r="C188" i="2"/>
  <c r="G188" i="2" s="1"/>
  <c r="C187" i="2"/>
  <c r="G187" i="2" s="1"/>
  <c r="C186" i="2"/>
  <c r="G186" i="2" s="1"/>
  <c r="C45" i="42"/>
  <c r="V46" i="41"/>
  <c r="P46" i="41"/>
  <c r="J46" i="41"/>
  <c r="D46" i="41"/>
  <c r="C45" i="39"/>
  <c r="C45" i="38"/>
  <c r="C175" i="7"/>
  <c r="C174" i="7"/>
  <c r="C173" i="7"/>
  <c r="C175" i="6"/>
  <c r="C174" i="6"/>
  <c r="C173" i="6"/>
  <c r="F176" i="3"/>
  <c r="H176" i="3" s="1"/>
  <c r="F175" i="3"/>
  <c r="H175" i="3" s="1"/>
  <c r="F174" i="3"/>
  <c r="H174" i="3" s="1"/>
  <c r="C46" i="41" l="1"/>
  <c r="C185" i="2"/>
  <c r="G185" i="2" s="1"/>
  <c r="G62" i="17"/>
  <c r="D62" i="17"/>
  <c r="G62" i="16"/>
  <c r="D62" i="16"/>
  <c r="G62" i="15"/>
  <c r="D62" i="15"/>
  <c r="C62" i="17" l="1"/>
  <c r="C62" i="16"/>
  <c r="C62" i="15"/>
  <c r="C62" i="11" l="1"/>
  <c r="P64" i="10"/>
  <c r="L64" i="10"/>
  <c r="F64" i="10"/>
  <c r="I175" i="9"/>
  <c r="I174" i="9"/>
  <c r="I173" i="9"/>
  <c r="D175" i="9"/>
  <c r="D174" i="9"/>
  <c r="D173" i="9"/>
  <c r="F175" i="8"/>
  <c r="C175" i="8" s="1"/>
  <c r="F174" i="8"/>
  <c r="C174" i="8" s="1"/>
  <c r="F173" i="8"/>
  <c r="C173" i="8" s="1"/>
  <c r="C44" i="42"/>
  <c r="V45" i="41"/>
  <c r="P45" i="41"/>
  <c r="J45" i="41"/>
  <c r="D45" i="41"/>
  <c r="C44" i="39"/>
  <c r="C64" i="10" l="1"/>
  <c r="E64" i="10"/>
  <c r="D64" i="10" s="1"/>
  <c r="C174" i="9"/>
  <c r="C173" i="9"/>
  <c r="C175" i="9"/>
  <c r="C45" i="41"/>
  <c r="C44" i="38" l="1"/>
  <c r="G61" i="17"/>
  <c r="D61" i="17"/>
  <c r="G61" i="16"/>
  <c r="D61" i="16"/>
  <c r="G61" i="15"/>
  <c r="D61" i="15"/>
  <c r="C61" i="11"/>
  <c r="P63" i="10"/>
  <c r="L63" i="10"/>
  <c r="F63" i="10"/>
  <c r="I172" i="9"/>
  <c r="I171" i="9"/>
  <c r="I170" i="9"/>
  <c r="D172" i="9"/>
  <c r="D171" i="9"/>
  <c r="D170" i="9"/>
  <c r="F172" i="8"/>
  <c r="C172" i="8" s="1"/>
  <c r="F171" i="8"/>
  <c r="C171" i="8" s="1"/>
  <c r="F170" i="8"/>
  <c r="C170" i="8" s="1"/>
  <c r="C172" i="7"/>
  <c r="C171" i="7"/>
  <c r="C170" i="7"/>
  <c r="C172" i="6"/>
  <c r="C171" i="6"/>
  <c r="C170" i="6"/>
  <c r="F173" i="3"/>
  <c r="H173" i="3" s="1"/>
  <c r="F172" i="3"/>
  <c r="H172" i="3" s="1"/>
  <c r="F171" i="3"/>
  <c r="H171" i="3" s="1"/>
  <c r="C170" i="9" l="1"/>
  <c r="C171" i="9"/>
  <c r="C63" i="10"/>
  <c r="C61" i="17"/>
  <c r="C61" i="16"/>
  <c r="C61" i="15"/>
  <c r="E63" i="10"/>
  <c r="D63" i="10" s="1"/>
  <c r="C172" i="9"/>
  <c r="C184" i="2"/>
  <c r="G184" i="2" s="1"/>
  <c r="C183" i="2"/>
  <c r="G183" i="2" s="1"/>
  <c r="C182" i="2"/>
  <c r="G182" i="2" s="1"/>
  <c r="C43" i="42"/>
  <c r="V44" i="41"/>
  <c r="P44" i="41"/>
  <c r="J44" i="41"/>
  <c r="D44" i="41"/>
  <c r="C43" i="39"/>
  <c r="C44" i="41" l="1"/>
  <c r="C43" i="38" l="1"/>
  <c r="F168" i="3"/>
  <c r="C169" i="7" l="1"/>
  <c r="C168" i="7"/>
  <c r="C167" i="7"/>
  <c r="F170" i="3"/>
  <c r="H170" i="3" s="1"/>
  <c r="F169" i="3"/>
  <c r="H169" i="3" s="1"/>
  <c r="H168" i="3"/>
  <c r="C169" i="6"/>
  <c r="C168" i="6"/>
  <c r="C167" i="6"/>
  <c r="C181" i="2"/>
  <c r="G181" i="2" s="1"/>
  <c r="C180" i="2"/>
  <c r="G180" i="2" s="1"/>
  <c r="C179" i="2"/>
  <c r="G179" i="2" s="1"/>
  <c r="P62" i="10" l="1"/>
  <c r="L62" i="10"/>
  <c r="F62" i="10"/>
  <c r="I169" i="9"/>
  <c r="I168" i="9"/>
  <c r="I167" i="9"/>
  <c r="D169" i="9"/>
  <c r="D168" i="9"/>
  <c r="D167" i="9"/>
  <c r="F167" i="8"/>
  <c r="C167" i="8" s="1"/>
  <c r="F169" i="8"/>
  <c r="C169" i="8" s="1"/>
  <c r="F168" i="8"/>
  <c r="C168" i="8" s="1"/>
  <c r="C60" i="11"/>
  <c r="E62" i="10" l="1"/>
  <c r="D62" i="10" s="1"/>
  <c r="C62" i="10"/>
  <c r="C167" i="9"/>
  <c r="C168" i="9"/>
  <c r="C169" i="9"/>
  <c r="G60" i="17"/>
  <c r="D60" i="17"/>
  <c r="G60" i="16"/>
  <c r="D60" i="16"/>
  <c r="G60" i="15"/>
  <c r="D60" i="15"/>
  <c r="C42" i="42"/>
  <c r="V43" i="41"/>
  <c r="P43" i="41"/>
  <c r="J43" i="41"/>
  <c r="D43" i="41"/>
  <c r="C42" i="39"/>
  <c r="C60" i="17" l="1"/>
  <c r="C60" i="16"/>
  <c r="C60" i="15"/>
  <c r="C43" i="41"/>
  <c r="C42" i="38" l="1"/>
  <c r="D59" i="16"/>
  <c r="D59" i="15"/>
  <c r="G59" i="15"/>
  <c r="C59" i="15" l="1"/>
  <c r="C59" i="11"/>
  <c r="P61" i="10" l="1"/>
  <c r="L61" i="10"/>
  <c r="F61" i="10"/>
  <c r="F164" i="8"/>
  <c r="C164" i="8" s="1"/>
  <c r="G59" i="17"/>
  <c r="D59" i="17"/>
  <c r="G59" i="16"/>
  <c r="C59" i="16" s="1"/>
  <c r="D166" i="9"/>
  <c r="D165" i="9"/>
  <c r="D164" i="9"/>
  <c r="I166" i="9"/>
  <c r="I165" i="9"/>
  <c r="I164" i="9"/>
  <c r="F166" i="8"/>
  <c r="C166" i="8" s="1"/>
  <c r="F165" i="8"/>
  <c r="C165" i="8" s="1"/>
  <c r="C166" i="7"/>
  <c r="C165" i="7"/>
  <c r="C164" i="7"/>
  <c r="C166" i="6"/>
  <c r="C165" i="6"/>
  <c r="C164" i="6"/>
  <c r="F167" i="3"/>
  <c r="H167" i="3" s="1"/>
  <c r="F166" i="3"/>
  <c r="H166" i="3" s="1"/>
  <c r="F165" i="3"/>
  <c r="H165" i="3" s="1"/>
  <c r="E61" i="10" l="1"/>
  <c r="D61" i="10" s="1"/>
  <c r="C61" i="10"/>
  <c r="C164" i="9"/>
  <c r="C166" i="9"/>
  <c r="C165" i="9"/>
  <c r="C59" i="17"/>
  <c r="C178" i="2"/>
  <c r="G178" i="2" s="1"/>
  <c r="C177" i="2"/>
  <c r="G177" i="2" s="1"/>
  <c r="C176" i="2"/>
  <c r="G176" i="2" s="1"/>
  <c r="C41" i="42" l="1"/>
  <c r="V42" i="41"/>
  <c r="P42" i="41"/>
  <c r="J42" i="41"/>
  <c r="D42" i="41"/>
  <c r="C42" i="41" l="1"/>
  <c r="C41" i="39" l="1"/>
  <c r="C41" i="38" l="1"/>
  <c r="G58" i="17" l="1"/>
  <c r="D58" i="17"/>
  <c r="G58" i="16"/>
  <c r="D58" i="16"/>
  <c r="G58" i="15"/>
  <c r="D58" i="15"/>
  <c r="C58" i="11"/>
  <c r="P60" i="10"/>
  <c r="L60" i="10"/>
  <c r="F60" i="10"/>
  <c r="I163" i="9"/>
  <c r="I162" i="9"/>
  <c r="I161" i="9"/>
  <c r="D163" i="9"/>
  <c r="D162" i="9"/>
  <c r="D161" i="9"/>
  <c r="F163" i="8"/>
  <c r="C163" i="8" s="1"/>
  <c r="F162" i="8"/>
  <c r="C162" i="8" s="1"/>
  <c r="F161" i="8"/>
  <c r="C161" i="8" s="1"/>
  <c r="C175" i="2"/>
  <c r="G175" i="2" s="1"/>
  <c r="C174" i="2"/>
  <c r="G174" i="2" s="1"/>
  <c r="C173" i="2"/>
  <c r="G173" i="2" s="1"/>
  <c r="C172" i="2"/>
  <c r="G172" i="2" s="1"/>
  <c r="C171" i="2"/>
  <c r="G171" i="2" s="1"/>
  <c r="C170" i="2"/>
  <c r="G170" i="2" s="1"/>
  <c r="C169" i="2"/>
  <c r="G169" i="2" s="1"/>
  <c r="C168" i="2"/>
  <c r="G168" i="2" s="1"/>
  <c r="C167" i="2"/>
  <c r="G167" i="2" s="1"/>
  <c r="C166" i="2"/>
  <c r="G166" i="2" s="1"/>
  <c r="F164" i="3"/>
  <c r="H164" i="3" s="1"/>
  <c r="F163" i="3"/>
  <c r="H163" i="3" s="1"/>
  <c r="F162" i="3"/>
  <c r="H162" i="3" s="1"/>
  <c r="C163" i="7"/>
  <c r="C162" i="7"/>
  <c r="C161" i="7"/>
  <c r="C163" i="6"/>
  <c r="C162" i="6"/>
  <c r="C161" i="6"/>
  <c r="C40" i="42"/>
  <c r="V41" i="41"/>
  <c r="P41" i="41"/>
  <c r="J41" i="41"/>
  <c r="D41" i="41"/>
  <c r="C40" i="39"/>
  <c r="C58" i="16" l="1"/>
  <c r="C60" i="10"/>
  <c r="C162" i="9"/>
  <c r="C161" i="9"/>
  <c r="C163" i="9"/>
  <c r="C58" i="17"/>
  <c r="C58" i="15"/>
  <c r="E60" i="10"/>
  <c r="D60" i="10" s="1"/>
  <c r="C41" i="41"/>
  <c r="C40" i="38"/>
  <c r="P59" i="10"/>
  <c r="L59" i="10"/>
  <c r="F59" i="10"/>
  <c r="C160" i="7"/>
  <c r="C159" i="7"/>
  <c r="C158" i="7"/>
  <c r="C160" i="6"/>
  <c r="C159" i="6"/>
  <c r="C158" i="6"/>
  <c r="F161" i="3"/>
  <c r="H161" i="3" s="1"/>
  <c r="F160" i="3"/>
  <c r="H160" i="3" s="1"/>
  <c r="F159" i="3"/>
  <c r="H159" i="3" s="1"/>
  <c r="E59" i="10" l="1"/>
  <c r="D59" i="10" s="1"/>
  <c r="C59" i="10"/>
  <c r="C57" i="11" l="1"/>
  <c r="I160" i="9"/>
  <c r="I159" i="9"/>
  <c r="I158" i="9"/>
  <c r="D160" i="9"/>
  <c r="D159" i="9"/>
  <c r="D158" i="9"/>
  <c r="F160" i="8"/>
  <c r="C160" i="8" s="1"/>
  <c r="F159" i="8"/>
  <c r="C159" i="8" s="1"/>
  <c r="F158" i="8"/>
  <c r="C158" i="8" s="1"/>
  <c r="G57" i="17"/>
  <c r="D57" i="17"/>
  <c r="G57" i="16"/>
  <c r="D57" i="16"/>
  <c r="G57" i="15"/>
  <c r="D57" i="15"/>
  <c r="C57" i="16" l="1"/>
  <c r="C57" i="15"/>
  <c r="C158" i="9"/>
  <c r="C159" i="9"/>
  <c r="C160" i="9"/>
  <c r="C57" i="17"/>
  <c r="C39" i="42" l="1"/>
  <c r="V40" i="41"/>
  <c r="P40" i="41"/>
  <c r="J40" i="41"/>
  <c r="D40" i="41"/>
  <c r="C40" i="41" l="1"/>
  <c r="C39" i="39" l="1"/>
  <c r="C39" i="38"/>
  <c r="C165" i="2"/>
  <c r="G165" i="2" s="1"/>
  <c r="C164" i="2"/>
  <c r="G164" i="2" s="1"/>
  <c r="D157" i="9" l="1"/>
  <c r="D156" i="9"/>
  <c r="D155" i="9"/>
  <c r="I157" i="9"/>
  <c r="I156" i="9"/>
  <c r="I155" i="9"/>
  <c r="F157" i="8"/>
  <c r="C157" i="8" s="1"/>
  <c r="F156" i="8"/>
  <c r="C156" i="8" s="1"/>
  <c r="F155" i="8"/>
  <c r="C155" i="8" s="1"/>
  <c r="C156" i="9" l="1"/>
  <c r="C155" i="9"/>
  <c r="C157" i="9"/>
  <c r="F158" i="3" l="1"/>
  <c r="H158" i="3" s="1"/>
  <c r="F157" i="3"/>
  <c r="H157" i="3" s="1"/>
  <c r="F156" i="3"/>
  <c r="H156" i="3" s="1"/>
  <c r="F155" i="3"/>
  <c r="F154" i="3"/>
  <c r="F153" i="3"/>
  <c r="G56" i="17"/>
  <c r="D56" i="17"/>
  <c r="G56" i="16"/>
  <c r="D56" i="16"/>
  <c r="D56" i="15"/>
  <c r="G56" i="15"/>
  <c r="C56" i="11"/>
  <c r="C55" i="11"/>
  <c r="C54" i="11"/>
  <c r="C53" i="11"/>
  <c r="P58" i="10"/>
  <c r="L58" i="10"/>
  <c r="F58" i="10"/>
  <c r="C56" i="17" l="1"/>
  <c r="C56" i="16"/>
  <c r="C56" i="15"/>
  <c r="C58" i="10"/>
  <c r="E58" i="10"/>
  <c r="D58" i="10" s="1"/>
  <c r="C157" i="7"/>
  <c r="C156" i="7"/>
  <c r="C155" i="7"/>
  <c r="C157" i="6"/>
  <c r="C156" i="6"/>
  <c r="C155" i="6"/>
  <c r="C38" i="42" l="1"/>
  <c r="V39" i="41"/>
  <c r="V38" i="41"/>
  <c r="P39" i="41"/>
  <c r="J39" i="41"/>
  <c r="D39" i="41"/>
  <c r="C38" i="39"/>
  <c r="C38" i="38"/>
  <c r="C39" i="41" l="1"/>
  <c r="C154" i="7"/>
  <c r="C153" i="7"/>
  <c r="C152" i="7"/>
  <c r="C154" i="6"/>
  <c r="C153" i="6"/>
  <c r="C152" i="6"/>
  <c r="H154" i="3"/>
  <c r="H153" i="3"/>
  <c r="H155" i="3"/>
  <c r="P57" i="10" l="1"/>
  <c r="L57" i="10"/>
  <c r="F57" i="10"/>
  <c r="C57" i="10" l="1"/>
  <c r="E57" i="10"/>
  <c r="D57" i="10" s="1"/>
  <c r="I154" i="9" l="1"/>
  <c r="I153" i="9"/>
  <c r="I152" i="9"/>
  <c r="D151" i="9"/>
  <c r="D152" i="9"/>
  <c r="D153" i="9"/>
  <c r="D154" i="9"/>
  <c r="F154" i="8"/>
  <c r="C154" i="8" s="1"/>
  <c r="F153" i="8"/>
  <c r="C153" i="8" s="1"/>
  <c r="F152" i="8"/>
  <c r="C152" i="8" s="1"/>
  <c r="C154" i="9" l="1"/>
  <c r="C152" i="9"/>
  <c r="C153" i="9"/>
  <c r="G55" i="17"/>
  <c r="D55" i="17"/>
  <c r="G55" i="16"/>
  <c r="D55" i="16"/>
  <c r="G55" i="15"/>
  <c r="D55" i="15"/>
  <c r="C55" i="17" l="1"/>
  <c r="C55" i="16"/>
  <c r="C55" i="15"/>
  <c r="C37" i="42"/>
  <c r="P38" i="41" l="1"/>
  <c r="J38" i="41"/>
  <c r="D38" i="41"/>
  <c r="C38" i="41" l="1"/>
  <c r="C37" i="39"/>
  <c r="C37" i="38" l="1"/>
  <c r="G54" i="17" l="1"/>
  <c r="D54" i="17"/>
  <c r="G54" i="16"/>
  <c r="D54" i="16"/>
  <c r="C54" i="17" l="1"/>
  <c r="C54" i="16"/>
  <c r="G54" i="15" l="1"/>
  <c r="D54" i="15"/>
  <c r="C54" i="15" l="1"/>
  <c r="P56" i="10"/>
  <c r="L56" i="10"/>
  <c r="F56" i="10"/>
  <c r="I151" i="9"/>
  <c r="C151" i="9" s="1"/>
  <c r="I150" i="9"/>
  <c r="I149" i="9"/>
  <c r="D150" i="9"/>
  <c r="D149" i="9"/>
  <c r="C150" i="9" l="1"/>
  <c r="E56" i="10"/>
  <c r="D56" i="10" s="1"/>
  <c r="C56" i="10"/>
  <c r="C149" i="9"/>
  <c r="F151" i="8" l="1"/>
  <c r="C151" i="8" s="1"/>
  <c r="F150" i="8"/>
  <c r="C150" i="8" s="1"/>
  <c r="F149" i="8"/>
  <c r="C149" i="8" s="1"/>
  <c r="C151" i="7"/>
  <c r="C150" i="7"/>
  <c r="C149" i="7"/>
  <c r="C151" i="6" l="1"/>
  <c r="C150" i="6"/>
  <c r="C149" i="6"/>
  <c r="F152" i="3" l="1"/>
  <c r="H152" i="3" s="1"/>
  <c r="F151" i="3"/>
  <c r="H151" i="3" s="1"/>
  <c r="F150" i="3"/>
  <c r="H150" i="3" s="1"/>
  <c r="C163" i="2" l="1"/>
  <c r="G163" i="2" s="1"/>
  <c r="C162" i="2"/>
  <c r="G162" i="2" s="1"/>
  <c r="C161" i="2"/>
  <c r="G161" i="2" s="1"/>
  <c r="C36" i="42" l="1"/>
  <c r="V37" i="41"/>
  <c r="P37" i="41"/>
  <c r="J37" i="41" l="1"/>
  <c r="D37" i="41"/>
  <c r="C37" i="41" l="1"/>
  <c r="C36" i="39"/>
  <c r="C36" i="38"/>
  <c r="G53" i="17" l="1"/>
  <c r="D53" i="17"/>
  <c r="G53" i="16"/>
  <c r="D53" i="16"/>
  <c r="D53" i="15"/>
  <c r="G53" i="15"/>
  <c r="C53" i="17" l="1"/>
  <c r="C53" i="16"/>
  <c r="C53" i="15"/>
  <c r="P55" i="10" l="1"/>
  <c r="L55" i="10"/>
  <c r="F55" i="10"/>
  <c r="C55" i="10" l="1"/>
  <c r="E55" i="10"/>
  <c r="D55" i="10" s="1"/>
  <c r="D148" i="9" l="1"/>
  <c r="D147" i="9"/>
  <c r="D146" i="9"/>
  <c r="I148" i="9"/>
  <c r="I147" i="9"/>
  <c r="I146" i="9"/>
  <c r="C148" i="9" l="1"/>
  <c r="C147" i="9"/>
  <c r="C146" i="9"/>
  <c r="F148" i="8" l="1"/>
  <c r="C148" i="8" s="1"/>
  <c r="F147" i="8"/>
  <c r="C147" i="8" s="1"/>
  <c r="F146" i="8"/>
  <c r="C146" i="8" s="1"/>
  <c r="C148" i="7"/>
  <c r="C147" i="7"/>
  <c r="C146" i="7"/>
  <c r="C148" i="6"/>
  <c r="C147" i="6"/>
  <c r="C146" i="6"/>
  <c r="F147" i="3"/>
  <c r="H147" i="3" l="1"/>
  <c r="F149" i="3"/>
  <c r="H149" i="3" s="1"/>
  <c r="F148" i="3"/>
  <c r="H148" i="3" s="1"/>
  <c r="C160" i="2"/>
  <c r="G160" i="2" s="1"/>
  <c r="C159" i="2"/>
  <c r="G159" i="2" s="1"/>
  <c r="C158" i="2"/>
  <c r="G158" i="2" s="1"/>
  <c r="V36" i="41" l="1"/>
  <c r="P36" i="41"/>
  <c r="J36" i="41"/>
  <c r="D36" i="41"/>
  <c r="C35" i="42"/>
  <c r="C35" i="39"/>
  <c r="C35" i="38"/>
  <c r="C36" i="41" l="1"/>
  <c r="C145" i="6"/>
  <c r="C144" i="6"/>
  <c r="C143" i="6"/>
  <c r="G52" i="17"/>
  <c r="D52" i="17"/>
  <c r="G52" i="16"/>
  <c r="D52" i="16"/>
  <c r="G52" i="15"/>
  <c r="D52" i="15"/>
  <c r="C52" i="16" l="1"/>
  <c r="C52" i="17"/>
  <c r="C52" i="15"/>
  <c r="C52" i="11"/>
  <c r="P54" i="10" l="1"/>
  <c r="L54" i="10"/>
  <c r="F54" i="10"/>
  <c r="E54" i="10" l="1"/>
  <c r="D54" i="10" s="1"/>
  <c r="C54" i="10"/>
  <c r="I143" i="9"/>
  <c r="I145" i="9"/>
  <c r="I144" i="9"/>
  <c r="D145" i="9"/>
  <c r="D144" i="9"/>
  <c r="D143" i="9"/>
  <c r="C145" i="9" l="1"/>
  <c r="C143" i="9"/>
  <c r="C144" i="9"/>
  <c r="F145" i="8" l="1"/>
  <c r="C145" i="8" s="1"/>
  <c r="F144" i="8"/>
  <c r="C144" i="8" s="1"/>
  <c r="F143" i="8"/>
  <c r="C143" i="8" s="1"/>
  <c r="C145" i="7"/>
  <c r="C144" i="7"/>
  <c r="C143" i="7"/>
  <c r="F146" i="3" l="1"/>
  <c r="H146" i="3" s="1"/>
  <c r="F145" i="3"/>
  <c r="H145" i="3" s="1"/>
  <c r="F144" i="3"/>
  <c r="H144" i="3" s="1"/>
  <c r="C157" i="2" l="1"/>
  <c r="G157" i="2" s="1"/>
  <c r="C155" i="2"/>
  <c r="G155" i="2" s="1"/>
  <c r="C156" i="2"/>
  <c r="G156" i="2" s="1"/>
  <c r="C34" i="42" l="1"/>
  <c r="D35" i="41"/>
  <c r="V35" i="41"/>
  <c r="P35" i="41"/>
  <c r="J35" i="41"/>
  <c r="C35" i="41" l="1"/>
  <c r="C34" i="39"/>
  <c r="C34" i="38"/>
  <c r="C142" i="6" l="1"/>
  <c r="C141" i="6"/>
  <c r="C140" i="6"/>
  <c r="G51" i="17"/>
  <c r="D51" i="17"/>
  <c r="G51" i="16"/>
  <c r="D51" i="16"/>
  <c r="G51" i="15"/>
  <c r="D51" i="15"/>
  <c r="C51" i="11"/>
  <c r="P53" i="10"/>
  <c r="L53" i="10"/>
  <c r="F53" i="10"/>
  <c r="I142" i="9"/>
  <c r="I141" i="9"/>
  <c r="I140" i="9"/>
  <c r="D142" i="9"/>
  <c r="D141" i="9"/>
  <c r="D140" i="9"/>
  <c r="F142" i="8"/>
  <c r="C142" i="8" s="1"/>
  <c r="F141" i="8"/>
  <c r="C141" i="8" s="1"/>
  <c r="F140" i="8"/>
  <c r="C140" i="8" s="1"/>
  <c r="C142" i="7"/>
  <c r="C141" i="7"/>
  <c r="C140" i="7"/>
  <c r="F143" i="3"/>
  <c r="H143" i="3" s="1"/>
  <c r="F142" i="3"/>
  <c r="H142" i="3" s="1"/>
  <c r="F141" i="3"/>
  <c r="H141" i="3" s="1"/>
  <c r="C154" i="2"/>
  <c r="C153" i="2"/>
  <c r="C152" i="2"/>
  <c r="G152" i="2" l="1"/>
  <c r="G153" i="2"/>
  <c r="G154" i="2"/>
  <c r="C51" i="17"/>
  <c r="E53" i="10"/>
  <c r="D53" i="10" s="1"/>
  <c r="C140" i="9"/>
  <c r="C141" i="9"/>
  <c r="C142" i="9"/>
  <c r="C51" i="16"/>
  <c r="C51" i="15"/>
  <c r="C53" i="10"/>
  <c r="C33" i="42"/>
  <c r="V34" i="41"/>
  <c r="P34" i="41"/>
  <c r="J34" i="41"/>
  <c r="D34" i="41"/>
  <c r="C33" i="39"/>
  <c r="C33" i="38"/>
  <c r="C34" i="41" l="1"/>
  <c r="C151" i="2"/>
  <c r="G151" i="2" s="1"/>
  <c r="C150" i="2"/>
  <c r="G150" i="2" s="1"/>
  <c r="C149" i="2"/>
  <c r="G149" i="2" s="1"/>
  <c r="G50" i="17" l="1"/>
  <c r="D50" i="17"/>
  <c r="G50" i="16"/>
  <c r="D50" i="16"/>
  <c r="C50" i="17" l="1"/>
  <c r="C50" i="16"/>
  <c r="G50" i="15" l="1"/>
  <c r="D50" i="15"/>
  <c r="C50" i="11"/>
  <c r="C50" i="15" l="1"/>
  <c r="P52" i="10"/>
  <c r="L52" i="10"/>
  <c r="F52" i="10"/>
  <c r="D139" i="9"/>
  <c r="D138" i="9"/>
  <c r="D137" i="9"/>
  <c r="I139" i="9"/>
  <c r="I138" i="9"/>
  <c r="I137" i="9"/>
  <c r="F137" i="8"/>
  <c r="C137" i="8" s="1"/>
  <c r="F139" i="8"/>
  <c r="C139" i="8" s="1"/>
  <c r="F138" i="8"/>
  <c r="C138" i="8" s="1"/>
  <c r="C139" i="9" l="1"/>
  <c r="E52" i="10"/>
  <c r="D52" i="10" s="1"/>
  <c r="C52" i="10"/>
  <c r="C138" i="9"/>
  <c r="C137" i="9"/>
  <c r="C139" i="7"/>
  <c r="C138" i="7"/>
  <c r="C137" i="7"/>
  <c r="C139" i="6"/>
  <c r="C138" i="6"/>
  <c r="C137" i="6"/>
  <c r="F140" i="3"/>
  <c r="H140" i="3" s="1"/>
  <c r="F139" i="3"/>
  <c r="H139" i="3" s="1"/>
  <c r="F138" i="3"/>
  <c r="H138" i="3" s="1"/>
  <c r="C32" i="42" l="1"/>
  <c r="V33" i="41"/>
  <c r="P33" i="41"/>
  <c r="J33" i="41"/>
  <c r="D33" i="41"/>
  <c r="C33" i="41" l="1"/>
  <c r="C32" i="39"/>
  <c r="C32" i="38"/>
  <c r="V32" i="41" l="1"/>
  <c r="D49" i="17" l="1"/>
  <c r="G49" i="17"/>
  <c r="G49" i="16"/>
  <c r="D49" i="16"/>
  <c r="D49" i="15"/>
  <c r="G49" i="15"/>
  <c r="C49" i="17" l="1"/>
  <c r="C49" i="16"/>
  <c r="C49" i="15"/>
  <c r="C49" i="11" l="1"/>
  <c r="P51" i="10"/>
  <c r="L51" i="10"/>
  <c r="F51" i="10"/>
  <c r="C51" i="10" l="1"/>
  <c r="E51" i="10"/>
  <c r="D51" i="10" s="1"/>
  <c r="D136" i="9" l="1"/>
  <c r="D135" i="9"/>
  <c r="D134" i="9"/>
  <c r="I136" i="9"/>
  <c r="I135" i="9"/>
  <c r="I134" i="9"/>
  <c r="F136" i="8"/>
  <c r="C136" i="8" s="1"/>
  <c r="F135" i="8"/>
  <c r="C135" i="8" s="1"/>
  <c r="F134" i="8"/>
  <c r="C134" i="8" s="1"/>
  <c r="C136" i="7"/>
  <c r="C135" i="7"/>
  <c r="C134" i="7"/>
  <c r="C136" i="6"/>
  <c r="C135" i="6"/>
  <c r="C134" i="6"/>
  <c r="F137" i="3"/>
  <c r="H137" i="3" s="1"/>
  <c r="F136" i="3"/>
  <c r="H136" i="3" s="1"/>
  <c r="F135" i="3"/>
  <c r="H135" i="3" s="1"/>
  <c r="C148" i="2"/>
  <c r="G148" i="2" s="1"/>
  <c r="C147" i="2"/>
  <c r="G147" i="2" s="1"/>
  <c r="C146" i="2"/>
  <c r="G146" i="2" s="1"/>
  <c r="C135" i="9" l="1"/>
  <c r="C136" i="9"/>
  <c r="C134" i="9"/>
  <c r="C31" i="42" l="1"/>
  <c r="P32" i="41"/>
  <c r="J32" i="41"/>
  <c r="D32" i="41"/>
  <c r="C32" i="41" l="1"/>
  <c r="C31" i="39"/>
  <c r="C31" i="38"/>
  <c r="G48" i="17" l="1"/>
  <c r="D48" i="17"/>
  <c r="G48" i="16"/>
  <c r="D48" i="16"/>
  <c r="G48" i="15"/>
  <c r="D48" i="15"/>
  <c r="C48" i="17" l="1"/>
  <c r="C48" i="16"/>
  <c r="C48" i="15"/>
  <c r="C48" i="11" l="1"/>
  <c r="P50" i="10" l="1"/>
  <c r="L50" i="10"/>
  <c r="F50" i="10"/>
  <c r="I133" i="9"/>
  <c r="I132" i="9"/>
  <c r="I131" i="9"/>
  <c r="D133" i="9"/>
  <c r="D132" i="9"/>
  <c r="D131" i="9"/>
  <c r="F133" i="8"/>
  <c r="C133" i="8" s="1"/>
  <c r="F132" i="8"/>
  <c r="C132" i="8" s="1"/>
  <c r="F131" i="8"/>
  <c r="C131" i="8" s="1"/>
  <c r="E50" i="10" l="1"/>
  <c r="D50" i="10" s="1"/>
  <c r="C50" i="10"/>
  <c r="C132" i="9"/>
  <c r="C131" i="9"/>
  <c r="C133" i="9"/>
  <c r="C145" i="2" l="1"/>
  <c r="G145" i="2" s="1"/>
  <c r="C144" i="2"/>
  <c r="G144" i="2" s="1"/>
  <c r="C143" i="2"/>
  <c r="G143" i="2" s="1"/>
  <c r="C133" i="7" l="1"/>
  <c r="C132" i="7"/>
  <c r="C131" i="7"/>
  <c r="C133" i="6"/>
  <c r="C132" i="6"/>
  <c r="C131" i="6"/>
  <c r="F134" i="3"/>
  <c r="H134" i="3" s="1"/>
  <c r="F133" i="3"/>
  <c r="H133" i="3" s="1"/>
  <c r="F132" i="3"/>
  <c r="H132" i="3" s="1"/>
  <c r="C30" i="42" l="1"/>
  <c r="D31" i="41"/>
  <c r="V31" i="41"/>
  <c r="P31" i="41"/>
  <c r="J31" i="41"/>
  <c r="C31" i="41" l="1"/>
  <c r="C30" i="39"/>
  <c r="C30" i="38"/>
  <c r="F129" i="3" l="1"/>
  <c r="G47" i="17" l="1"/>
  <c r="D47" i="17"/>
  <c r="G47" i="16"/>
  <c r="D47" i="16"/>
  <c r="G47" i="15"/>
  <c r="D47" i="15"/>
  <c r="C47" i="17" l="1"/>
  <c r="C47" i="16"/>
  <c r="C47" i="15"/>
  <c r="C47" i="11" l="1"/>
  <c r="P49" i="10"/>
  <c r="L49" i="10"/>
  <c r="F49" i="10"/>
  <c r="D130" i="9"/>
  <c r="D129" i="9"/>
  <c r="D128" i="9"/>
  <c r="I130" i="9"/>
  <c r="I129" i="9"/>
  <c r="I128" i="9"/>
  <c r="E49" i="10" l="1"/>
  <c r="D49" i="10" s="1"/>
  <c r="C49" i="10"/>
  <c r="C128" i="9"/>
  <c r="C129" i="9"/>
  <c r="C130" i="9"/>
  <c r="F130" i="8" l="1"/>
  <c r="C130" i="8" s="1"/>
  <c r="F129" i="8"/>
  <c r="C129" i="8" s="1"/>
  <c r="F128" i="8"/>
  <c r="C128" i="8" s="1"/>
  <c r="C130" i="7" l="1"/>
  <c r="C129" i="7"/>
  <c r="C128" i="7"/>
  <c r="C130" i="6" l="1"/>
  <c r="C129" i="6"/>
  <c r="C128" i="6"/>
  <c r="F131" i="3" l="1"/>
  <c r="H131" i="3" s="1"/>
  <c r="F130" i="3"/>
  <c r="H130" i="3" s="1"/>
  <c r="H129" i="3"/>
  <c r="C142" i="2"/>
  <c r="G142" i="2" s="1"/>
  <c r="C141" i="2"/>
  <c r="G141" i="2" s="1"/>
  <c r="C140" i="2"/>
  <c r="G140" i="2" s="1"/>
  <c r="C29" i="42" l="1"/>
  <c r="V30" i="41" l="1"/>
  <c r="P30" i="41"/>
  <c r="J30" i="41"/>
  <c r="D30" i="41"/>
  <c r="C30" i="41" l="1"/>
  <c r="C29" i="39"/>
  <c r="C29" i="38"/>
  <c r="I125" i="9" l="1"/>
  <c r="G46" i="17" l="1"/>
  <c r="D46" i="17"/>
  <c r="C46" i="17" l="1"/>
  <c r="G46" i="15"/>
  <c r="D46" i="15"/>
  <c r="C46" i="15" l="1"/>
  <c r="G46" i="16"/>
  <c r="D46" i="16"/>
  <c r="C46" i="16" l="1"/>
  <c r="C45" i="11"/>
  <c r="P48" i="10"/>
  <c r="L48" i="10"/>
  <c r="F48" i="10"/>
  <c r="I127" i="9"/>
  <c r="I126" i="9"/>
  <c r="D127" i="9"/>
  <c r="D126" i="9"/>
  <c r="D125" i="9"/>
  <c r="C125" i="9" s="1"/>
  <c r="F127" i="8"/>
  <c r="C127" i="8" s="1"/>
  <c r="F126" i="8"/>
  <c r="C126" i="8" s="1"/>
  <c r="F125" i="8"/>
  <c r="C125" i="8" s="1"/>
  <c r="C127" i="7"/>
  <c r="C126" i="7"/>
  <c r="C125" i="7"/>
  <c r="C127" i="6"/>
  <c r="C126" i="6"/>
  <c r="C125" i="6"/>
  <c r="F128" i="3"/>
  <c r="H128" i="3" s="1"/>
  <c r="F127" i="3"/>
  <c r="H127" i="3" s="1"/>
  <c r="F126" i="3"/>
  <c r="H126" i="3" s="1"/>
  <c r="C139" i="2"/>
  <c r="G139" i="2" s="1"/>
  <c r="C138" i="2"/>
  <c r="G138" i="2" s="1"/>
  <c r="C137" i="2"/>
  <c r="G137" i="2" s="1"/>
  <c r="C126" i="9" l="1"/>
  <c r="E48" i="10"/>
  <c r="D48" i="10" s="1"/>
  <c r="C48" i="10"/>
  <c r="C127" i="9"/>
  <c r="C28" i="42"/>
  <c r="V29" i="41"/>
  <c r="P29" i="41"/>
  <c r="J29" i="41"/>
  <c r="D29" i="41"/>
  <c r="C29" i="41" l="1"/>
  <c r="C28" i="39"/>
  <c r="C28" i="38"/>
  <c r="D124" i="9" l="1"/>
  <c r="D123" i="9"/>
  <c r="D122" i="9"/>
  <c r="G45" i="17" l="1"/>
  <c r="D45" i="17"/>
  <c r="G45" i="16"/>
  <c r="D45" i="16"/>
  <c r="G45" i="15"/>
  <c r="D45" i="15"/>
  <c r="C44" i="11"/>
  <c r="P47" i="10"/>
  <c r="L47" i="10"/>
  <c r="F47" i="10"/>
  <c r="I124" i="9"/>
  <c r="C124" i="9" s="1"/>
  <c r="I123" i="9"/>
  <c r="C123" i="9" s="1"/>
  <c r="I122" i="9"/>
  <c r="C122" i="9" s="1"/>
  <c r="F124" i="8"/>
  <c r="C124" i="8" s="1"/>
  <c r="F123" i="8"/>
  <c r="C123" i="8" s="1"/>
  <c r="F122" i="8"/>
  <c r="C122" i="8" s="1"/>
  <c r="C124" i="7"/>
  <c r="C123" i="7"/>
  <c r="C122" i="7"/>
  <c r="C124" i="6"/>
  <c r="C123" i="6"/>
  <c r="C122" i="6"/>
  <c r="F125" i="3"/>
  <c r="H125" i="3" s="1"/>
  <c r="F124" i="3"/>
  <c r="H124" i="3" s="1"/>
  <c r="F123" i="3"/>
  <c r="H123" i="3" s="1"/>
  <c r="C136" i="2"/>
  <c r="G136" i="2" s="1"/>
  <c r="C135" i="2"/>
  <c r="G135" i="2" s="1"/>
  <c r="C134" i="2"/>
  <c r="G134" i="2" l="1"/>
  <c r="C47" i="10"/>
  <c r="C45" i="16"/>
  <c r="C45" i="17"/>
  <c r="C45" i="15"/>
  <c r="E47" i="10"/>
  <c r="D47" i="10" s="1"/>
  <c r="C27" i="42"/>
  <c r="V28" i="41"/>
  <c r="P28" i="41"/>
  <c r="J28" i="41"/>
  <c r="D28" i="41"/>
  <c r="C27" i="39"/>
  <c r="C27" i="38"/>
  <c r="C28" i="41" l="1"/>
  <c r="D44" i="15" l="1"/>
  <c r="F119" i="8" l="1"/>
  <c r="C133" i="2" l="1"/>
  <c r="G133" i="2" s="1"/>
  <c r="C132" i="2"/>
  <c r="G132" i="2" s="1"/>
  <c r="C131" i="2"/>
  <c r="G131" i="2" s="1"/>
  <c r="G44" i="17"/>
  <c r="D44" i="17"/>
  <c r="G44" i="16"/>
  <c r="D44" i="16"/>
  <c r="C44" i="17" l="1"/>
  <c r="C44" i="16"/>
  <c r="G44" i="15"/>
  <c r="C44" i="15" s="1"/>
  <c r="P46" i="10"/>
  <c r="L46" i="10"/>
  <c r="F46" i="10"/>
  <c r="I121" i="9"/>
  <c r="I120" i="9"/>
  <c r="I119" i="9"/>
  <c r="D121" i="9"/>
  <c r="D120" i="9"/>
  <c r="D119" i="9"/>
  <c r="F121" i="8"/>
  <c r="C121" i="8" s="1"/>
  <c r="F120" i="8"/>
  <c r="C120" i="8" s="1"/>
  <c r="C119" i="8"/>
  <c r="C121" i="7"/>
  <c r="C120" i="7"/>
  <c r="C119" i="7"/>
  <c r="C121" i="6"/>
  <c r="C120" i="6"/>
  <c r="C119" i="6"/>
  <c r="F122" i="3"/>
  <c r="H122" i="3" s="1"/>
  <c r="F121" i="3"/>
  <c r="H121" i="3" s="1"/>
  <c r="F120" i="3"/>
  <c r="H120" i="3" s="1"/>
  <c r="C120" i="9" l="1"/>
  <c r="C119" i="9"/>
  <c r="C121" i="9"/>
  <c r="E46" i="10"/>
  <c r="D46" i="10" s="1"/>
  <c r="C46" i="10"/>
  <c r="C43" i="11"/>
  <c r="C26" i="38" l="1"/>
  <c r="C26" i="42" l="1"/>
  <c r="V27" i="41"/>
  <c r="P27" i="41"/>
  <c r="J27" i="41"/>
  <c r="D27" i="41"/>
  <c r="C27" i="41" l="1"/>
  <c r="C26" i="39"/>
  <c r="D43" i="17" l="1"/>
  <c r="C43" i="17" s="1"/>
  <c r="G43" i="16"/>
  <c r="D43" i="16"/>
  <c r="C43" i="16" l="1"/>
  <c r="G43" i="15" l="1"/>
  <c r="D43" i="15"/>
  <c r="C42" i="11"/>
  <c r="P45" i="10"/>
  <c r="L45" i="10"/>
  <c r="F45" i="10"/>
  <c r="I118" i="9"/>
  <c r="I117" i="9"/>
  <c r="I116" i="9"/>
  <c r="D118" i="9"/>
  <c r="D117" i="9"/>
  <c r="D116" i="9"/>
  <c r="F118" i="8"/>
  <c r="C118" i="8" s="1"/>
  <c r="F117" i="8"/>
  <c r="C117" i="8" s="1"/>
  <c r="F116" i="8"/>
  <c r="C116" i="8" s="1"/>
  <c r="C118" i="7"/>
  <c r="C118" i="6"/>
  <c r="F119" i="3"/>
  <c r="H119" i="3" s="1"/>
  <c r="F118" i="3"/>
  <c r="H118" i="3" s="1"/>
  <c r="F117" i="3"/>
  <c r="H117" i="3" s="1"/>
  <c r="C130" i="2"/>
  <c r="G130" i="2" s="1"/>
  <c r="C129" i="2"/>
  <c r="G129" i="2" s="1"/>
  <c r="C128" i="2"/>
  <c r="G128" i="2" s="1"/>
  <c r="C43" i="15" l="1"/>
  <c r="C45" i="10"/>
  <c r="E45" i="10"/>
  <c r="D45" i="10" s="1"/>
  <c r="C116" i="9"/>
  <c r="C117" i="9"/>
  <c r="C118" i="9"/>
  <c r="C117" i="6"/>
  <c r="C117" i="7" l="1"/>
  <c r="C116" i="7"/>
  <c r="C116" i="6"/>
  <c r="C25" i="42" l="1"/>
  <c r="V26" i="41"/>
  <c r="P26" i="41"/>
  <c r="J26" i="41"/>
  <c r="D26" i="41"/>
  <c r="C25" i="39"/>
  <c r="C25" i="38"/>
  <c r="C26" i="41" l="1"/>
  <c r="C18" i="38" l="1"/>
  <c r="F116" i="3" l="1"/>
  <c r="H116" i="3" s="1"/>
  <c r="F115" i="3"/>
  <c r="H115" i="3" s="1"/>
  <c r="F114" i="3"/>
  <c r="H114" i="3" s="1"/>
  <c r="C115" i="7" l="1"/>
  <c r="C114" i="7"/>
  <c r="C113" i="7"/>
  <c r="C115" i="6"/>
  <c r="C114" i="6"/>
  <c r="C113" i="6"/>
  <c r="C127" i="2" l="1"/>
  <c r="G127" i="2" s="1"/>
  <c r="C126" i="2"/>
  <c r="G126" i="2" s="1"/>
  <c r="C125" i="2"/>
  <c r="G125" i="2" s="1"/>
  <c r="G42" i="17"/>
  <c r="D42" i="17"/>
  <c r="G42" i="16"/>
  <c r="D42" i="16"/>
  <c r="G42" i="15"/>
  <c r="D42" i="15"/>
  <c r="C42" i="17" l="1"/>
  <c r="C42" i="16"/>
  <c r="C42" i="15"/>
  <c r="C41" i="11" l="1"/>
  <c r="P44" i="10"/>
  <c r="L44" i="10"/>
  <c r="F44" i="10"/>
  <c r="I115" i="9"/>
  <c r="I114" i="9"/>
  <c r="I113" i="9"/>
  <c r="D115" i="9"/>
  <c r="D114" i="9"/>
  <c r="D113" i="9"/>
  <c r="F115" i="8"/>
  <c r="C115" i="8" s="1"/>
  <c r="F114" i="8"/>
  <c r="C114" i="8" s="1"/>
  <c r="F113" i="8"/>
  <c r="C113" i="8" s="1"/>
  <c r="C115" i="9" l="1"/>
  <c r="C113" i="9"/>
  <c r="C114" i="9"/>
  <c r="E44" i="10"/>
  <c r="D44" i="10" s="1"/>
  <c r="C44" i="10"/>
  <c r="C24" i="42" l="1"/>
  <c r="C23" i="42"/>
  <c r="V25" i="41"/>
  <c r="P25" i="41"/>
  <c r="J25" i="41"/>
  <c r="D25" i="41"/>
  <c r="V24" i="41"/>
  <c r="P24" i="41"/>
  <c r="J24" i="41"/>
  <c r="D24" i="41"/>
  <c r="C24" i="39"/>
  <c r="C23" i="39"/>
  <c r="C24" i="38"/>
  <c r="C23" i="38"/>
  <c r="C24" i="41" l="1"/>
  <c r="C25" i="41"/>
  <c r="G41" i="17"/>
  <c r="D41" i="17"/>
  <c r="D41" i="16"/>
  <c r="G41" i="16"/>
  <c r="G41" i="15"/>
  <c r="D41" i="15"/>
  <c r="C41" i="17" l="1"/>
  <c r="C41" i="16"/>
  <c r="C41" i="15" l="1"/>
  <c r="P43" i="10" l="1"/>
  <c r="L43" i="10"/>
  <c r="F43" i="10"/>
  <c r="E43" i="10" l="1"/>
  <c r="D43" i="10" s="1"/>
  <c r="C43" i="10"/>
  <c r="I110" i="9" l="1"/>
  <c r="I111" i="9"/>
  <c r="I112" i="9"/>
  <c r="D110" i="9" l="1"/>
  <c r="C110" i="9" s="1"/>
  <c r="D111" i="9"/>
  <c r="C111" i="9" s="1"/>
  <c r="D112" i="9"/>
  <c r="C112" i="9" s="1"/>
  <c r="F110" i="8" l="1"/>
  <c r="C110" i="8" s="1"/>
  <c r="F111" i="8"/>
  <c r="C111" i="8" s="1"/>
  <c r="F112" i="8"/>
  <c r="C112" i="8" s="1"/>
  <c r="F113" i="3" l="1"/>
  <c r="H113" i="3" s="1"/>
  <c r="F112" i="3"/>
  <c r="H112" i="3" s="1"/>
  <c r="F111" i="3"/>
  <c r="H111" i="3" s="1"/>
  <c r="F110" i="3"/>
  <c r="H110" i="3" s="1"/>
  <c r="F109" i="3"/>
  <c r="H109" i="3" s="1"/>
  <c r="F108" i="3"/>
  <c r="H108" i="3" s="1"/>
  <c r="F107" i="3"/>
  <c r="H107" i="3" s="1"/>
  <c r="F106" i="3"/>
  <c r="H106" i="3" s="1"/>
  <c r="F105" i="3"/>
  <c r="H105" i="3" s="1"/>
  <c r="F104" i="3"/>
  <c r="H104" i="3" s="1"/>
  <c r="F103" i="3"/>
  <c r="H103" i="3" s="1"/>
  <c r="F102" i="3"/>
  <c r="H102" i="3" s="1"/>
  <c r="F101" i="3"/>
  <c r="H101" i="3" s="1"/>
  <c r="F100" i="3"/>
  <c r="H100" i="3" s="1"/>
  <c r="F99" i="3"/>
  <c r="H99" i="3" s="1"/>
  <c r="F98" i="3"/>
  <c r="H98" i="3" s="1"/>
  <c r="F97" i="3"/>
  <c r="H97" i="3" s="1"/>
  <c r="F96" i="3"/>
  <c r="H96" i="3" s="1"/>
  <c r="F95" i="3"/>
  <c r="H95" i="3" s="1"/>
  <c r="F94" i="3"/>
  <c r="H94" i="3" s="1"/>
  <c r="F93" i="3"/>
  <c r="H93" i="3" s="1"/>
  <c r="F92" i="3"/>
  <c r="H92" i="3" s="1"/>
  <c r="F91" i="3"/>
  <c r="H91" i="3" s="1"/>
  <c r="F90" i="3"/>
  <c r="H90" i="3" s="1"/>
  <c r="F89" i="3"/>
  <c r="H89" i="3" s="1"/>
  <c r="F88" i="3"/>
  <c r="H88" i="3" s="1"/>
  <c r="F87" i="3"/>
  <c r="H87" i="3" s="1"/>
  <c r="F86" i="3"/>
  <c r="H86" i="3" s="1"/>
  <c r="F85" i="3"/>
  <c r="H85" i="3" s="1"/>
  <c r="F84" i="3"/>
  <c r="H84" i="3" s="1"/>
  <c r="F83" i="3"/>
  <c r="H83" i="3" s="1"/>
  <c r="F82" i="3"/>
  <c r="H82" i="3" s="1"/>
  <c r="F81" i="3"/>
  <c r="H81" i="3" s="1"/>
  <c r="F80" i="3"/>
  <c r="H80" i="3" s="1"/>
  <c r="F79" i="3"/>
  <c r="H79" i="3" s="1"/>
  <c r="F78" i="3"/>
  <c r="H78" i="3" s="1"/>
  <c r="F77" i="3"/>
  <c r="H77" i="3" s="1"/>
  <c r="F76" i="3"/>
  <c r="H76" i="3" s="1"/>
  <c r="F75" i="3"/>
  <c r="H75" i="3" s="1"/>
  <c r="F74" i="3"/>
  <c r="H74" i="3" s="1"/>
  <c r="F73" i="3"/>
  <c r="H73" i="3" s="1"/>
  <c r="F72" i="3"/>
  <c r="H72" i="3" s="1"/>
  <c r="F71" i="3"/>
  <c r="H71" i="3" s="1"/>
  <c r="F70" i="3"/>
  <c r="H70" i="3" s="1"/>
  <c r="F69" i="3"/>
  <c r="H69" i="3" s="1"/>
  <c r="F68" i="3"/>
  <c r="H68" i="3" s="1"/>
  <c r="F67" i="3"/>
  <c r="H67" i="3" s="1"/>
  <c r="F66" i="3"/>
  <c r="H66" i="3" s="1"/>
  <c r="F65" i="3"/>
  <c r="H65" i="3" s="1"/>
  <c r="F64" i="3"/>
  <c r="H64" i="3" s="1"/>
  <c r="F63" i="3"/>
  <c r="H63" i="3" s="1"/>
  <c r="F62" i="3"/>
  <c r="H62" i="3" s="1"/>
  <c r="F61" i="3"/>
  <c r="H61" i="3" s="1"/>
  <c r="F60" i="3"/>
  <c r="H60" i="3" s="1"/>
  <c r="F59" i="3"/>
  <c r="H59" i="3" s="1"/>
  <c r="F58" i="3"/>
  <c r="H58" i="3" s="1"/>
  <c r="F57" i="3"/>
  <c r="H57" i="3" s="1"/>
  <c r="F56" i="3"/>
  <c r="H56" i="3" s="1"/>
  <c r="F55" i="3"/>
  <c r="H55" i="3" s="1"/>
  <c r="F54" i="3"/>
  <c r="H54" i="3" s="1"/>
  <c r="F53" i="3"/>
  <c r="H53" i="3" s="1"/>
  <c r="F52" i="3"/>
  <c r="H52" i="3" s="1"/>
  <c r="F51" i="3"/>
  <c r="H51" i="3" s="1"/>
  <c r="F50" i="3"/>
  <c r="H50" i="3" s="1"/>
  <c r="F49" i="3"/>
  <c r="H49" i="3" s="1"/>
  <c r="F48" i="3"/>
  <c r="H48" i="3" s="1"/>
  <c r="F47" i="3"/>
  <c r="H47" i="3" s="1"/>
  <c r="F46" i="3"/>
  <c r="H46" i="3" s="1"/>
  <c r="F45" i="3"/>
  <c r="H45" i="3" s="1"/>
  <c r="F44" i="3"/>
  <c r="H44" i="3" s="1"/>
  <c r="F43" i="3"/>
  <c r="H43" i="3" s="1"/>
  <c r="F42" i="3"/>
  <c r="H42" i="3" s="1"/>
  <c r="F41" i="3"/>
  <c r="H41" i="3" s="1"/>
  <c r="F40" i="3"/>
  <c r="H40" i="3" s="1"/>
  <c r="F39" i="3"/>
  <c r="H39" i="3" s="1"/>
  <c r="F38" i="3"/>
  <c r="H38" i="3"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F7" i="3"/>
  <c r="H7" i="3" s="1"/>
  <c r="F6" i="3"/>
  <c r="H6" i="3" s="1"/>
  <c r="C124" i="2"/>
  <c r="C120" i="2"/>
  <c r="G120" i="2" s="1"/>
  <c r="C118" i="2"/>
  <c r="G118" i="2" s="1"/>
  <c r="C116" i="2"/>
  <c r="G116" i="2" s="1"/>
  <c r="C115" i="2"/>
  <c r="G115" i="2" s="1"/>
  <c r="C113" i="2"/>
  <c r="G113" i="2" s="1"/>
  <c r="C99" i="2"/>
  <c r="G99" i="2" s="1"/>
  <c r="C97" i="2"/>
  <c r="G97" i="2" s="1"/>
  <c r="C94" i="2"/>
  <c r="G94" i="2" s="1"/>
  <c r="C16" i="2"/>
  <c r="G16" i="2" s="1"/>
  <c r="C15" i="2"/>
  <c r="G15" i="2" s="1"/>
  <c r="C14" i="2"/>
  <c r="G14" i="2" s="1"/>
  <c r="C13" i="2"/>
  <c r="G13" i="2" s="1"/>
  <c r="C12" i="2"/>
  <c r="G12" i="2" s="1"/>
  <c r="C11" i="2"/>
  <c r="G11" i="2" s="1"/>
  <c r="C10" i="2"/>
  <c r="G10" i="2" s="1"/>
  <c r="C9" i="2"/>
  <c r="G9" i="2" s="1"/>
  <c r="C8" i="2"/>
  <c r="G8" i="2" s="1"/>
  <c r="C7" i="2"/>
  <c r="G7" i="2" s="1"/>
  <c r="C6" i="2"/>
  <c r="G6" i="2" s="1"/>
  <c r="C5" i="2"/>
  <c r="G5" i="2" s="1"/>
  <c r="C122" i="2" l="1"/>
  <c r="G122" i="2" s="1"/>
  <c r="C105" i="2"/>
  <c r="G105" i="2" s="1"/>
  <c r="C107" i="2"/>
  <c r="G107" i="2" s="1"/>
  <c r="C64" i="2"/>
  <c r="G64" i="2" s="1"/>
  <c r="C66" i="2"/>
  <c r="G66" i="2" s="1"/>
  <c r="C72" i="2"/>
  <c r="G72" i="2" s="1"/>
  <c r="C74" i="2"/>
  <c r="G74" i="2" s="1"/>
  <c r="C80" i="2"/>
  <c r="G80" i="2" s="1"/>
  <c r="C82" i="2"/>
  <c r="G82" i="2" s="1"/>
  <c r="C88" i="2"/>
  <c r="G88" i="2" s="1"/>
  <c r="C90" i="2"/>
  <c r="G90" i="2" s="1"/>
  <c r="C101" i="2"/>
  <c r="G101" i="2" s="1"/>
  <c r="C103" i="2"/>
  <c r="G103" i="2" s="1"/>
  <c r="C109" i="2"/>
  <c r="G109" i="2" s="1"/>
  <c r="C111" i="2"/>
  <c r="G111" i="2" s="1"/>
  <c r="C17" i="2"/>
  <c r="G17" i="2" s="1"/>
  <c r="C19" i="2"/>
  <c r="G19" i="2" s="1"/>
  <c r="C21" i="2"/>
  <c r="G21" i="2" s="1"/>
  <c r="C23" i="2"/>
  <c r="G23" i="2" s="1"/>
  <c r="C25" i="2"/>
  <c r="G25" i="2" s="1"/>
  <c r="C27" i="2"/>
  <c r="G27" i="2" s="1"/>
  <c r="C29" i="2"/>
  <c r="G29" i="2" s="1"/>
  <c r="C31" i="2"/>
  <c r="G31" i="2" s="1"/>
  <c r="C33" i="2"/>
  <c r="G33" i="2" s="1"/>
  <c r="C35" i="2"/>
  <c r="G35" i="2" s="1"/>
  <c r="C37" i="2"/>
  <c r="G37" i="2" s="1"/>
  <c r="C41" i="2"/>
  <c r="G41" i="2" s="1"/>
  <c r="C45" i="2"/>
  <c r="G45" i="2" s="1"/>
  <c r="C49" i="2"/>
  <c r="G49" i="2" s="1"/>
  <c r="C53" i="2"/>
  <c r="G53" i="2" s="1"/>
  <c r="C57" i="2"/>
  <c r="G57" i="2" s="1"/>
  <c r="C61" i="2"/>
  <c r="G61" i="2" s="1"/>
  <c r="C67" i="2"/>
  <c r="G67" i="2" s="1"/>
  <c r="C69" i="2"/>
  <c r="G69" i="2" s="1"/>
  <c r="C75" i="2"/>
  <c r="G75" i="2" s="1"/>
  <c r="C77" i="2"/>
  <c r="G77" i="2" s="1"/>
  <c r="C83" i="2"/>
  <c r="G83" i="2" s="1"/>
  <c r="C85" i="2"/>
  <c r="G85" i="2" s="1"/>
  <c r="C91" i="2"/>
  <c r="G91" i="2" s="1"/>
  <c r="C96" i="2"/>
  <c r="G96" i="2" s="1"/>
  <c r="C98" i="2"/>
  <c r="G98" i="2" s="1"/>
  <c r="C108" i="2"/>
  <c r="G108" i="2" s="1"/>
  <c r="C119" i="2"/>
  <c r="G119" i="2" s="1"/>
  <c r="C18" i="2"/>
  <c r="G18" i="2" s="1"/>
  <c r="C20" i="2"/>
  <c r="G20" i="2" s="1"/>
  <c r="C22" i="2"/>
  <c r="G22" i="2" s="1"/>
  <c r="C24" i="2"/>
  <c r="G24" i="2" s="1"/>
  <c r="C26" i="2"/>
  <c r="G26" i="2" s="1"/>
  <c r="C28" i="2"/>
  <c r="G28" i="2" s="1"/>
  <c r="C30" i="2"/>
  <c r="G30" i="2" s="1"/>
  <c r="C32" i="2"/>
  <c r="G32" i="2" s="1"/>
  <c r="C34" i="2"/>
  <c r="G34" i="2" s="1"/>
  <c r="C36" i="2"/>
  <c r="G36" i="2" s="1"/>
  <c r="C38" i="2"/>
  <c r="G38" i="2" s="1"/>
  <c r="C40" i="2"/>
  <c r="G40" i="2" s="1"/>
  <c r="C63" i="2"/>
  <c r="G63" i="2" s="1"/>
  <c r="C71" i="2"/>
  <c r="G71" i="2" s="1"/>
  <c r="C79" i="2"/>
  <c r="G79" i="2" s="1"/>
  <c r="C87" i="2"/>
  <c r="G87" i="2" s="1"/>
  <c r="C93" i="2"/>
  <c r="G93" i="2" s="1"/>
  <c r="C95" i="2"/>
  <c r="G95" i="2" s="1"/>
  <c r="C100" i="2"/>
  <c r="G100" i="2" s="1"/>
  <c r="C102" i="2"/>
  <c r="G102" i="2" s="1"/>
  <c r="C104" i="2"/>
  <c r="G104" i="2" s="1"/>
  <c r="C106" i="2"/>
  <c r="G106" i="2" s="1"/>
  <c r="C112" i="2"/>
  <c r="G112" i="2" s="1"/>
  <c r="C114" i="2"/>
  <c r="G114" i="2" s="1"/>
  <c r="C121" i="2"/>
  <c r="G121" i="2" s="1"/>
  <c r="C110" i="2"/>
  <c r="G110" i="2" s="1"/>
  <c r="C117" i="2"/>
  <c r="G117" i="2" s="1"/>
  <c r="C44" i="2"/>
  <c r="G44" i="2" s="1"/>
  <c r="C48" i="2"/>
  <c r="G48" i="2" s="1"/>
  <c r="C52" i="2"/>
  <c r="G52" i="2" s="1"/>
  <c r="C56" i="2"/>
  <c r="G56" i="2" s="1"/>
  <c r="C60" i="2"/>
  <c r="G60" i="2" s="1"/>
  <c r="C62" i="2"/>
  <c r="G62" i="2" s="1"/>
  <c r="C65" i="2"/>
  <c r="G65" i="2" s="1"/>
  <c r="C68" i="2"/>
  <c r="G68" i="2" s="1"/>
  <c r="C70" i="2"/>
  <c r="G70" i="2" s="1"/>
  <c r="C73" i="2"/>
  <c r="G73" i="2" s="1"/>
  <c r="C76" i="2"/>
  <c r="G76" i="2" s="1"/>
  <c r="C78" i="2"/>
  <c r="G78" i="2" s="1"/>
  <c r="C81" i="2"/>
  <c r="G81" i="2" s="1"/>
  <c r="C84" i="2"/>
  <c r="G84" i="2" s="1"/>
  <c r="C86" i="2"/>
  <c r="G86" i="2" s="1"/>
  <c r="C89" i="2"/>
  <c r="G89" i="2" s="1"/>
  <c r="C92" i="2"/>
  <c r="G92" i="2" s="1"/>
  <c r="C39" i="2"/>
  <c r="G39" i="2" s="1"/>
  <c r="C43" i="2"/>
  <c r="G43" i="2" s="1"/>
  <c r="C47" i="2"/>
  <c r="G47" i="2" s="1"/>
  <c r="C51" i="2"/>
  <c r="G51" i="2" s="1"/>
  <c r="C55" i="2"/>
  <c r="G55" i="2" s="1"/>
  <c r="C59" i="2"/>
  <c r="G59" i="2" s="1"/>
  <c r="C123" i="2"/>
  <c r="G123" i="2" s="1"/>
  <c r="C42" i="2"/>
  <c r="G42" i="2" s="1"/>
  <c r="C46" i="2"/>
  <c r="G46" i="2" s="1"/>
  <c r="C50" i="2"/>
  <c r="G50" i="2" s="1"/>
  <c r="C54" i="2"/>
  <c r="G54" i="2" s="1"/>
  <c r="C58" i="2"/>
  <c r="G58" i="2" s="1"/>
  <c r="G124" i="2"/>
  <c r="L42" i="10" l="1"/>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C40" i="11" l="1"/>
  <c r="C111" i="7" l="1"/>
  <c r="C112" i="6"/>
  <c r="C111" i="6"/>
  <c r="C8" i="6"/>
  <c r="C6" i="6"/>
  <c r="C112" i="7" l="1"/>
  <c r="C9" i="6"/>
  <c r="C7" i="6"/>
  <c r="C5" i="6"/>
  <c r="C110" i="7" l="1"/>
  <c r="C110" i="6"/>
  <c r="D40" i="17" l="1"/>
  <c r="G40" i="17"/>
  <c r="G40" i="16"/>
  <c r="D40" i="16"/>
  <c r="G40" i="15"/>
  <c r="D40" i="15"/>
  <c r="C40" i="17" l="1"/>
  <c r="C40" i="16"/>
  <c r="C40" i="15"/>
  <c r="C39" i="11" l="1"/>
  <c r="P42" i="10"/>
  <c r="F42" i="10"/>
  <c r="D109" i="9"/>
  <c r="D108" i="9"/>
  <c r="D107" i="9"/>
  <c r="I109" i="9"/>
  <c r="I108" i="9"/>
  <c r="I107" i="9"/>
  <c r="F107" i="8"/>
  <c r="E42" i="10" l="1"/>
  <c r="D42" i="10" s="1"/>
  <c r="C42" i="10"/>
  <c r="C108" i="9"/>
  <c r="C109" i="9"/>
  <c r="C107" i="9"/>
  <c r="F109" i="8" l="1"/>
  <c r="F108" i="8"/>
  <c r="C107" i="8"/>
  <c r="C109" i="6"/>
  <c r="C108" i="6"/>
  <c r="C107" i="6"/>
  <c r="C108" i="8" l="1"/>
  <c r="C109" i="8"/>
  <c r="C108" i="7"/>
  <c r="C109" i="7" l="1"/>
  <c r="C107" i="7"/>
  <c r="C22" i="42"/>
  <c r="C23" i="41"/>
  <c r="C22" i="39"/>
  <c r="C22" i="38"/>
  <c r="C106" i="6" l="1"/>
  <c r="C105" i="6"/>
  <c r="C104" i="6"/>
  <c r="C38" i="11" l="1"/>
  <c r="F104" i="8"/>
  <c r="G39" i="17" l="1"/>
  <c r="D39" i="17"/>
  <c r="G39" i="16"/>
  <c r="D39" i="16"/>
  <c r="G39" i="15"/>
  <c r="D39" i="15"/>
  <c r="P41" i="10"/>
  <c r="F41" i="10"/>
  <c r="I106" i="9"/>
  <c r="I105" i="9"/>
  <c r="I104" i="9"/>
  <c r="D106" i="9"/>
  <c r="D105" i="9"/>
  <c r="D104" i="9"/>
  <c r="F106" i="8"/>
  <c r="F105" i="8"/>
  <c r="C104" i="8"/>
  <c r="C106" i="7"/>
  <c r="C105" i="7"/>
  <c r="C104" i="7"/>
  <c r="C39" i="17" l="1"/>
  <c r="C106" i="8"/>
  <c r="C105" i="8"/>
  <c r="C39" i="16"/>
  <c r="C39" i="15"/>
  <c r="E41" i="10"/>
  <c r="D41" i="10" s="1"/>
  <c r="C41" i="10"/>
  <c r="C106" i="9"/>
  <c r="C104" i="9"/>
  <c r="C105" i="9"/>
  <c r="C21" i="38"/>
  <c r="D52" i="9" l="1"/>
  <c r="G38" i="15" l="1"/>
  <c r="D38" i="15"/>
  <c r="V22" i="41" l="1"/>
  <c r="P22" i="41"/>
  <c r="J22" i="41"/>
  <c r="D22" i="41"/>
  <c r="C22" i="41" l="1"/>
  <c r="I101" i="9" l="1"/>
  <c r="D103" i="9"/>
  <c r="D102" i="9"/>
  <c r="D101" i="9"/>
  <c r="I103" i="9"/>
  <c r="I102" i="9"/>
  <c r="C101" i="9" l="1"/>
  <c r="C102" i="9"/>
  <c r="C103" i="9"/>
  <c r="C37" i="11" l="1"/>
  <c r="C21" i="42" l="1"/>
  <c r="C21" i="39"/>
  <c r="G38" i="17"/>
  <c r="D38" i="17"/>
  <c r="G38" i="16"/>
  <c r="D38" i="16"/>
  <c r="C38" i="15"/>
  <c r="P40" i="10"/>
  <c r="F40" i="10"/>
  <c r="F103" i="8"/>
  <c r="F102" i="8"/>
  <c r="F101" i="8"/>
  <c r="C103" i="7"/>
  <c r="C102" i="7"/>
  <c r="C101" i="7"/>
  <c r="C103" i="6"/>
  <c r="C102" i="6"/>
  <c r="C101" i="6"/>
  <c r="C102" i="8" l="1"/>
  <c r="C103" i="8"/>
  <c r="C101" i="8"/>
  <c r="E40" i="10"/>
  <c r="D40" i="10" s="1"/>
  <c r="C40" i="10"/>
  <c r="C38" i="17"/>
  <c r="C38" i="16"/>
  <c r="C20" i="42"/>
  <c r="C19" i="42"/>
  <c r="I95" i="9" l="1"/>
  <c r="I96" i="9"/>
  <c r="I97" i="9"/>
  <c r="G37" i="16" l="1"/>
  <c r="G36" i="16"/>
  <c r="D37" i="16"/>
  <c r="D36" i="16"/>
  <c r="C20" i="39" l="1"/>
  <c r="C19" i="39"/>
  <c r="C20" i="38"/>
  <c r="C19" i="38"/>
  <c r="C17" i="38"/>
  <c r="C16" i="38"/>
  <c r="C15" i="38"/>
  <c r="C14" i="38"/>
  <c r="C13" i="38"/>
  <c r="C12" i="38"/>
  <c r="C11" i="38"/>
  <c r="C10" i="38"/>
  <c r="C9" i="38"/>
  <c r="C8" i="38"/>
  <c r="C7" i="38"/>
  <c r="C6" i="38"/>
  <c r="G37" i="17"/>
  <c r="G36" i="17"/>
  <c r="D37" i="17"/>
  <c r="D36" i="17"/>
  <c r="C37" i="16"/>
  <c r="C36" i="16"/>
  <c r="G37" i="15"/>
  <c r="G36" i="15"/>
  <c r="D37" i="15"/>
  <c r="D36" i="15"/>
  <c r="C36" i="11"/>
  <c r="C35" i="11"/>
  <c r="P39" i="10"/>
  <c r="P38" i="10"/>
  <c r="F39" i="10"/>
  <c r="D100" i="9"/>
  <c r="D99" i="9"/>
  <c r="D98" i="9"/>
  <c r="D97" i="9"/>
  <c r="D96" i="9"/>
  <c r="C96" i="9" s="1"/>
  <c r="D95" i="9"/>
  <c r="C95" i="9" s="1"/>
  <c r="I100" i="9"/>
  <c r="I99" i="9"/>
  <c r="I98" i="9"/>
  <c r="F100" i="8"/>
  <c r="F99" i="8"/>
  <c r="F98" i="8"/>
  <c r="F97" i="8"/>
  <c r="F96" i="8"/>
  <c r="F95" i="8"/>
  <c r="C100" i="7"/>
  <c r="C99" i="7"/>
  <c r="C98" i="7"/>
  <c r="C97" i="7"/>
  <c r="C96" i="7"/>
  <c r="C95" i="7"/>
  <c r="C100" i="6"/>
  <c r="C99" i="6"/>
  <c r="C98" i="6"/>
  <c r="C96" i="8" l="1"/>
  <c r="C98" i="8"/>
  <c r="C100" i="8"/>
  <c r="C97" i="8"/>
  <c r="C95" i="8"/>
  <c r="C99" i="8"/>
  <c r="C36" i="17"/>
  <c r="C99" i="9"/>
  <c r="C98" i="9"/>
  <c r="C100" i="9"/>
  <c r="C36" i="15"/>
  <c r="C37" i="17"/>
  <c r="C37" i="15"/>
  <c r="E39" i="10"/>
  <c r="D39" i="10" s="1"/>
  <c r="C39" i="10"/>
  <c r="C97" i="9"/>
  <c r="C97" i="6"/>
  <c r="C96" i="6"/>
  <c r="C95" i="6"/>
  <c r="C18" i="39" l="1"/>
  <c r="C17" i="39"/>
  <c r="C16" i="39"/>
  <c r="C15" i="39"/>
  <c r="C14" i="39"/>
  <c r="C13" i="39"/>
  <c r="C12" i="39"/>
  <c r="C11" i="39"/>
  <c r="C10" i="39"/>
  <c r="C9" i="39"/>
  <c r="C8" i="39"/>
  <c r="C7" i="39"/>
  <c r="C6" i="39"/>
  <c r="C5" i="39"/>
  <c r="F38" i="10"/>
  <c r="E38" i="10" s="1"/>
  <c r="D38" i="10" l="1"/>
  <c r="C38" i="10"/>
  <c r="V19" i="41" l="1"/>
  <c r="P19" i="41"/>
  <c r="J19" i="41"/>
  <c r="V18" i="41"/>
  <c r="P18" i="41"/>
  <c r="J18" i="41"/>
  <c r="D19" i="41"/>
  <c r="C19" i="41" l="1"/>
  <c r="C94" i="7" l="1"/>
  <c r="C93" i="7"/>
  <c r="C92" i="7"/>
  <c r="P131" i="14" l="1"/>
  <c r="P129" i="14"/>
  <c r="O131" i="14"/>
  <c r="O130" i="14"/>
  <c r="O129" i="14"/>
  <c r="H131" i="14"/>
  <c r="H130" i="14"/>
  <c r="H129" i="14"/>
  <c r="G131" i="14"/>
  <c r="G130" i="14"/>
  <c r="G129" i="14"/>
  <c r="D35" i="16" l="1"/>
  <c r="G35" i="16"/>
  <c r="D35" i="15"/>
  <c r="C35" i="16" l="1"/>
  <c r="C94" i="6" l="1"/>
  <c r="C93" i="6"/>
  <c r="C92" i="6"/>
  <c r="F94" i="8"/>
  <c r="F93" i="8"/>
  <c r="F92" i="8"/>
  <c r="C18" i="42"/>
  <c r="G35" i="17"/>
  <c r="D35" i="17"/>
  <c r="G35" i="15"/>
  <c r="C34" i="11"/>
  <c r="D94" i="9"/>
  <c r="D93" i="9"/>
  <c r="D92" i="9"/>
  <c r="I94" i="9"/>
  <c r="I93" i="9"/>
  <c r="I92" i="9"/>
  <c r="P37" i="10"/>
  <c r="F37" i="10"/>
  <c r="C94" i="8" l="1"/>
  <c r="C92" i="8"/>
  <c r="C93" i="8"/>
  <c r="C35" i="15"/>
  <c r="C92" i="9"/>
  <c r="C35" i="17"/>
  <c r="C94" i="9"/>
  <c r="C93" i="9"/>
  <c r="E37" i="10"/>
  <c r="D37" i="10" s="1"/>
  <c r="C37" i="10"/>
  <c r="O128" i="14"/>
  <c r="O127" i="14"/>
  <c r="O126" i="14"/>
  <c r="H128" i="14"/>
  <c r="H127" i="14"/>
  <c r="H126" i="14"/>
  <c r="I91" i="9"/>
  <c r="I90" i="9"/>
  <c r="I89" i="9"/>
  <c r="C17" i="42"/>
  <c r="D18" i="41"/>
  <c r="C18" i="41" s="1"/>
  <c r="C16" i="42"/>
  <c r="C15" i="42"/>
  <c r="C14" i="42"/>
  <c r="C13" i="42"/>
  <c r="C12" i="42"/>
  <c r="C11" i="42"/>
  <c r="C10" i="42"/>
  <c r="C9" i="42"/>
  <c r="C8" i="42"/>
  <c r="C7" i="42"/>
  <c r="C6" i="42"/>
  <c r="C5" i="42"/>
  <c r="V17" i="41"/>
  <c r="V16" i="41"/>
  <c r="V15" i="41"/>
  <c r="V14" i="41"/>
  <c r="V13" i="41"/>
  <c r="V12" i="41"/>
  <c r="V11" i="41"/>
  <c r="V10" i="41"/>
  <c r="P17" i="41"/>
  <c r="P16" i="41"/>
  <c r="P15" i="41"/>
  <c r="P14" i="41"/>
  <c r="P13" i="41"/>
  <c r="P12" i="41"/>
  <c r="P11" i="41"/>
  <c r="P10" i="41"/>
  <c r="J17" i="41"/>
  <c r="J16" i="41"/>
  <c r="J15" i="41"/>
  <c r="J14" i="41"/>
  <c r="J13" i="41"/>
  <c r="J12" i="41"/>
  <c r="J11" i="41"/>
  <c r="J10" i="41"/>
  <c r="D17" i="41"/>
  <c r="D16" i="41"/>
  <c r="D15" i="41"/>
  <c r="D14" i="41"/>
  <c r="D13" i="41"/>
  <c r="D12" i="41"/>
  <c r="D11" i="41"/>
  <c r="D10" i="41"/>
  <c r="V9" i="41"/>
  <c r="V8" i="41"/>
  <c r="V7" i="41"/>
  <c r="V6" i="41"/>
  <c r="P9" i="41"/>
  <c r="P8" i="41"/>
  <c r="P7" i="41"/>
  <c r="P6" i="41"/>
  <c r="J9" i="41"/>
  <c r="J8" i="41"/>
  <c r="J7" i="41"/>
  <c r="J6" i="41"/>
  <c r="D9" i="41"/>
  <c r="D8" i="41"/>
  <c r="D7" i="41"/>
  <c r="D6" i="41"/>
  <c r="C5" i="38"/>
  <c r="G34" i="17"/>
  <c r="D34" i="17"/>
  <c r="G34" i="16"/>
  <c r="D34" i="16"/>
  <c r="G34" i="15"/>
  <c r="D34" i="15"/>
  <c r="C33" i="11"/>
  <c r="P36" i="10"/>
  <c r="F36" i="10"/>
  <c r="D91" i="9"/>
  <c r="D90" i="9"/>
  <c r="D89" i="9"/>
  <c r="F91" i="8"/>
  <c r="F90" i="8"/>
  <c r="F89" i="8"/>
  <c r="C91" i="7"/>
  <c r="C90" i="7"/>
  <c r="C89" i="7"/>
  <c r="C91" i="6"/>
  <c r="C90" i="6"/>
  <c r="C89" i="6"/>
  <c r="C86" i="7"/>
  <c r="C87" i="7"/>
  <c r="C88" i="7"/>
  <c r="P125" i="14"/>
  <c r="P124" i="14"/>
  <c r="P123" i="14"/>
  <c r="O125" i="14"/>
  <c r="O124" i="14"/>
  <c r="O123" i="14"/>
  <c r="H125" i="14"/>
  <c r="H124" i="14"/>
  <c r="H123" i="14"/>
  <c r="D85" i="9"/>
  <c r="D86" i="9"/>
  <c r="D87" i="9"/>
  <c r="D88" i="9"/>
  <c r="I85" i="9"/>
  <c r="I86" i="9"/>
  <c r="I87" i="9"/>
  <c r="I88" i="9"/>
  <c r="F85" i="8"/>
  <c r="F86" i="8"/>
  <c r="F87" i="8"/>
  <c r="F88" i="8"/>
  <c r="C85" i="7"/>
  <c r="C85" i="6"/>
  <c r="C86" i="6"/>
  <c r="C87" i="6"/>
  <c r="C88" i="6"/>
  <c r="D32" i="17"/>
  <c r="D32" i="16"/>
  <c r="G32" i="16"/>
  <c r="G32" i="15"/>
  <c r="D32" i="15"/>
  <c r="C31" i="11"/>
  <c r="C32" i="11"/>
  <c r="P34" i="10"/>
  <c r="P35" i="10"/>
  <c r="F34" i="10"/>
  <c r="F35" i="10"/>
  <c r="G31" i="17"/>
  <c r="D31" i="17"/>
  <c r="G31" i="16"/>
  <c r="D31" i="16"/>
  <c r="G31" i="15"/>
  <c r="D31" i="15"/>
  <c r="C30" i="11"/>
  <c r="P33" i="10"/>
  <c r="F33" i="10"/>
  <c r="I83" i="9"/>
  <c r="I84" i="9"/>
  <c r="D83" i="9"/>
  <c r="D84" i="9"/>
  <c r="I82" i="9"/>
  <c r="D82" i="9"/>
  <c r="F83" i="8"/>
  <c r="F84" i="8"/>
  <c r="F82" i="8"/>
  <c r="C83" i="7"/>
  <c r="C84" i="7"/>
  <c r="C82" i="7"/>
  <c r="C83" i="6"/>
  <c r="C84" i="6"/>
  <c r="C82" i="6"/>
  <c r="G8" i="17"/>
  <c r="G9" i="17"/>
  <c r="G10" i="17"/>
  <c r="G11" i="17"/>
  <c r="G12" i="17"/>
  <c r="G13" i="17"/>
  <c r="G14" i="17"/>
  <c r="G15" i="17"/>
  <c r="G16" i="17"/>
  <c r="G17" i="17"/>
  <c r="G18" i="17"/>
  <c r="G19" i="17"/>
  <c r="G20" i="17"/>
  <c r="G21" i="17"/>
  <c r="G22" i="17"/>
  <c r="G23" i="17"/>
  <c r="G24" i="17"/>
  <c r="G25" i="17"/>
  <c r="G26" i="17"/>
  <c r="G27" i="17"/>
  <c r="G28" i="17"/>
  <c r="G29" i="17"/>
  <c r="G30" i="17"/>
  <c r="G33" i="17"/>
  <c r="D8" i="17"/>
  <c r="D9" i="17"/>
  <c r="D10" i="17"/>
  <c r="D11" i="17"/>
  <c r="D12" i="17"/>
  <c r="D13" i="17"/>
  <c r="D14" i="17"/>
  <c r="D15" i="17"/>
  <c r="D16" i="17"/>
  <c r="D17" i="17"/>
  <c r="D18" i="17"/>
  <c r="D19" i="17"/>
  <c r="D20" i="17"/>
  <c r="D21" i="17"/>
  <c r="D22" i="17"/>
  <c r="D23" i="17"/>
  <c r="D24" i="17"/>
  <c r="D25" i="17"/>
  <c r="D26" i="17"/>
  <c r="D27" i="17"/>
  <c r="D28" i="17"/>
  <c r="D29" i="17"/>
  <c r="D30" i="17"/>
  <c r="D33" i="17"/>
  <c r="G7" i="17"/>
  <c r="D7" i="17"/>
  <c r="G6" i="17"/>
  <c r="D6" i="17"/>
  <c r="G8" i="16"/>
  <c r="G9" i="16"/>
  <c r="G10" i="16"/>
  <c r="G11" i="16"/>
  <c r="G12" i="16"/>
  <c r="G13" i="16"/>
  <c r="G14" i="16"/>
  <c r="G15" i="16"/>
  <c r="G16" i="16"/>
  <c r="G17" i="16"/>
  <c r="G18" i="16"/>
  <c r="G19" i="16"/>
  <c r="G20" i="16"/>
  <c r="G21" i="16"/>
  <c r="G22" i="16"/>
  <c r="G23" i="16"/>
  <c r="G24" i="16"/>
  <c r="G25" i="16"/>
  <c r="G26" i="16"/>
  <c r="G28" i="16"/>
  <c r="G29" i="16"/>
  <c r="G30" i="16"/>
  <c r="G33" i="16"/>
  <c r="G7" i="16"/>
  <c r="G6" i="16"/>
  <c r="D8" i="16"/>
  <c r="D9" i="16"/>
  <c r="D10" i="16"/>
  <c r="D11" i="16"/>
  <c r="D12" i="16"/>
  <c r="D13" i="16"/>
  <c r="D14" i="16"/>
  <c r="D15" i="16"/>
  <c r="D16" i="16"/>
  <c r="D17" i="16"/>
  <c r="D18" i="16"/>
  <c r="D19" i="16"/>
  <c r="D20" i="16"/>
  <c r="D21" i="16"/>
  <c r="D22" i="16"/>
  <c r="D23" i="16"/>
  <c r="D24" i="16"/>
  <c r="D25" i="16"/>
  <c r="D26" i="16"/>
  <c r="D28" i="16"/>
  <c r="D29" i="16"/>
  <c r="D30" i="16"/>
  <c r="D33" i="16"/>
  <c r="D7" i="16"/>
  <c r="D6" i="16"/>
  <c r="G8" i="15"/>
  <c r="G9" i="15"/>
  <c r="G10" i="15"/>
  <c r="G11" i="15"/>
  <c r="G12" i="15"/>
  <c r="G13" i="15"/>
  <c r="G14" i="15"/>
  <c r="G15" i="15"/>
  <c r="G16" i="15"/>
  <c r="G17" i="15"/>
  <c r="G18" i="15"/>
  <c r="G19" i="15"/>
  <c r="G20" i="15"/>
  <c r="G21" i="15"/>
  <c r="G22" i="15"/>
  <c r="G23" i="15"/>
  <c r="G24" i="15"/>
  <c r="G25" i="15"/>
  <c r="G26" i="15"/>
  <c r="G27" i="15"/>
  <c r="G28" i="15"/>
  <c r="G29" i="15"/>
  <c r="G30" i="15"/>
  <c r="G33" i="15"/>
  <c r="D8" i="15"/>
  <c r="D9" i="15"/>
  <c r="D10" i="15"/>
  <c r="D11" i="15"/>
  <c r="D12" i="15"/>
  <c r="D13" i="15"/>
  <c r="D14" i="15"/>
  <c r="D15" i="15"/>
  <c r="D16" i="15"/>
  <c r="D17" i="15"/>
  <c r="D18" i="15"/>
  <c r="D19" i="15"/>
  <c r="D20" i="15"/>
  <c r="D21" i="15"/>
  <c r="D22" i="15"/>
  <c r="D23" i="15"/>
  <c r="D24" i="15"/>
  <c r="D25" i="15"/>
  <c r="D26" i="15"/>
  <c r="D27" i="15"/>
  <c r="D28" i="15"/>
  <c r="D29" i="15"/>
  <c r="D30" i="15"/>
  <c r="D33" i="15"/>
  <c r="G7" i="15"/>
  <c r="D7" i="15"/>
  <c r="G6" i="15"/>
  <c r="D6" i="15"/>
  <c r="C7" i="11"/>
  <c r="C8" i="11"/>
  <c r="C9" i="11"/>
  <c r="C10" i="11"/>
  <c r="C11" i="11"/>
  <c r="C12" i="11"/>
  <c r="C13" i="11"/>
  <c r="C14" i="11"/>
  <c r="C15" i="11"/>
  <c r="C16" i="11"/>
  <c r="C17" i="11"/>
  <c r="C18" i="11"/>
  <c r="C19" i="11"/>
  <c r="C20" i="11"/>
  <c r="C21" i="11"/>
  <c r="C22" i="11"/>
  <c r="C23" i="11"/>
  <c r="C24" i="11"/>
  <c r="C25" i="11"/>
  <c r="C26" i="11"/>
  <c r="C27" i="11"/>
  <c r="C28" i="11"/>
  <c r="C29" i="11"/>
  <c r="C6" i="11"/>
  <c r="C5" i="11"/>
  <c r="P10" i="10"/>
  <c r="P11" i="10"/>
  <c r="P12" i="10"/>
  <c r="P13" i="10"/>
  <c r="P14" i="10"/>
  <c r="P15" i="10"/>
  <c r="P16" i="10"/>
  <c r="P17" i="10"/>
  <c r="P18" i="10"/>
  <c r="P19" i="10"/>
  <c r="P20" i="10"/>
  <c r="P21" i="10"/>
  <c r="P22" i="10"/>
  <c r="P23" i="10"/>
  <c r="P24" i="10"/>
  <c r="P25" i="10"/>
  <c r="P26" i="10"/>
  <c r="P27" i="10"/>
  <c r="P28" i="10"/>
  <c r="P29" i="10"/>
  <c r="P30" i="10"/>
  <c r="P31" i="10"/>
  <c r="P32" i="10"/>
  <c r="P9" i="10"/>
  <c r="P8" i="10"/>
  <c r="F10" i="10"/>
  <c r="F11" i="10"/>
  <c r="F12" i="10"/>
  <c r="E12" i="10" s="1"/>
  <c r="F13" i="10"/>
  <c r="E13" i="10" s="1"/>
  <c r="F14" i="10"/>
  <c r="E14" i="10" s="1"/>
  <c r="F15" i="10"/>
  <c r="E15" i="10" s="1"/>
  <c r="F16" i="10"/>
  <c r="E16" i="10" s="1"/>
  <c r="F17" i="10"/>
  <c r="E17" i="10" s="1"/>
  <c r="F18" i="10"/>
  <c r="F19" i="10"/>
  <c r="F20" i="10"/>
  <c r="F21" i="10"/>
  <c r="E21" i="10" s="1"/>
  <c r="F22" i="10"/>
  <c r="E22" i="10" s="1"/>
  <c r="F23" i="10"/>
  <c r="F24" i="10"/>
  <c r="E24" i="10" s="1"/>
  <c r="F25" i="10"/>
  <c r="F26" i="10"/>
  <c r="F27" i="10"/>
  <c r="F28" i="10"/>
  <c r="F29" i="10"/>
  <c r="E29" i="10" s="1"/>
  <c r="F30" i="10"/>
  <c r="E30" i="10" s="1"/>
  <c r="F31" i="10"/>
  <c r="F32" i="10"/>
  <c r="E32" i="10" s="1"/>
  <c r="F9" i="10"/>
  <c r="E9" i="10" s="1"/>
  <c r="F8" i="10"/>
  <c r="E8" i="10" s="1"/>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C52" i="9"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6" i="9"/>
  <c r="I5"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6" i="9"/>
  <c r="D5" i="9"/>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6" i="8"/>
  <c r="F5" i="8"/>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5" i="7"/>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P116" i="14"/>
  <c r="O116" i="14"/>
  <c r="H116" i="14"/>
  <c r="P114" i="14"/>
  <c r="P115" i="14"/>
  <c r="O115" i="14"/>
  <c r="O114" i="14"/>
  <c r="H115" i="14"/>
  <c r="H114" i="14"/>
  <c r="P113" i="14"/>
  <c r="P112" i="14"/>
  <c r="P111" i="14"/>
  <c r="O113" i="14"/>
  <c r="O112" i="14"/>
  <c r="O111" i="14"/>
  <c r="H113" i="14"/>
  <c r="H112" i="14"/>
  <c r="H111" i="14"/>
  <c r="G113" i="14"/>
  <c r="G112" i="14"/>
  <c r="G111" i="14"/>
  <c r="R110" i="14"/>
  <c r="R109" i="14"/>
  <c r="R108" i="14"/>
  <c r="P110" i="14"/>
  <c r="P109" i="14"/>
  <c r="P108" i="14"/>
  <c r="O110" i="14"/>
  <c r="O109" i="14"/>
  <c r="O108" i="14"/>
  <c r="J110" i="14"/>
  <c r="J109" i="14"/>
  <c r="J108" i="14"/>
  <c r="H110" i="14"/>
  <c r="H109" i="14"/>
  <c r="H108" i="14"/>
  <c r="G110" i="14"/>
  <c r="G109" i="14"/>
  <c r="G108" i="14"/>
  <c r="G27" i="16"/>
  <c r="D27" i="16"/>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E18" i="1"/>
  <c r="E19" i="1"/>
  <c r="E20" i="1"/>
  <c r="E21" i="1"/>
  <c r="E22" i="1"/>
  <c r="E23" i="1"/>
  <c r="E24" i="1"/>
  <c r="E7" i="1"/>
  <c r="E8" i="1"/>
  <c r="E9" i="1"/>
  <c r="E10" i="1"/>
  <c r="E11" i="1"/>
  <c r="E12" i="1"/>
  <c r="E13" i="1"/>
  <c r="E14" i="1"/>
  <c r="E15" i="1"/>
  <c r="E16" i="1"/>
  <c r="E17" i="1"/>
  <c r="E6" i="1"/>
  <c r="C10" i="41" l="1"/>
  <c r="C25" i="17"/>
  <c r="C11" i="15"/>
  <c r="C33" i="15"/>
  <c r="C27" i="15"/>
  <c r="C19" i="15"/>
  <c r="C9" i="17"/>
  <c r="C13" i="15"/>
  <c r="C15" i="15"/>
  <c r="C14" i="17"/>
  <c r="C16" i="41"/>
  <c r="C15" i="41"/>
  <c r="C11" i="17"/>
  <c r="C28" i="15"/>
  <c r="C17" i="41"/>
  <c r="C17" i="15"/>
  <c r="C20" i="15"/>
  <c r="C15" i="17"/>
  <c r="C8" i="17"/>
  <c r="C23" i="15"/>
  <c r="C9" i="41"/>
  <c r="C24" i="15"/>
  <c r="C18" i="15"/>
  <c r="C26" i="15"/>
  <c r="C16" i="17"/>
  <c r="C10" i="15"/>
  <c r="C8" i="15"/>
  <c r="C16" i="15"/>
  <c r="C33" i="17"/>
  <c r="C25" i="15"/>
  <c r="D30" i="10"/>
  <c r="D22" i="10"/>
  <c r="D14" i="10"/>
  <c r="C28" i="16"/>
  <c r="C19" i="16"/>
  <c r="C11" i="16"/>
  <c r="C14" i="41"/>
  <c r="D13" i="10"/>
  <c r="C24" i="17"/>
  <c r="C28" i="10"/>
  <c r="C20" i="10"/>
  <c r="D12" i="10"/>
  <c r="C55" i="9"/>
  <c r="C58" i="9"/>
  <c r="C29" i="16"/>
  <c r="C20" i="16"/>
  <c r="C12" i="15"/>
  <c r="C68" i="9"/>
  <c r="C60" i="9"/>
  <c r="C36" i="9"/>
  <c r="C28" i="9"/>
  <c r="C21" i="15"/>
  <c r="C14" i="9"/>
  <c r="C12" i="16"/>
  <c r="C6" i="16"/>
  <c r="C24" i="16"/>
  <c r="C16" i="16"/>
  <c r="C8" i="16"/>
  <c r="C25" i="9"/>
  <c r="C23" i="17"/>
  <c r="C75" i="9"/>
  <c r="C67" i="9"/>
  <c r="C35" i="9"/>
  <c r="C27" i="9"/>
  <c r="C19" i="9"/>
  <c r="C11" i="9"/>
  <c r="C32" i="16"/>
  <c r="C25" i="16"/>
  <c r="C17" i="16"/>
  <c r="C9" i="16"/>
  <c r="C30" i="17"/>
  <c r="C22" i="17"/>
  <c r="C80" i="9"/>
  <c r="C72" i="9"/>
  <c r="C56" i="9"/>
  <c r="C48" i="9"/>
  <c r="C40" i="9"/>
  <c r="C32" i="9"/>
  <c r="C8" i="41"/>
  <c r="C12" i="41"/>
  <c r="C79" i="9"/>
  <c r="C71" i="9"/>
  <c r="C63" i="9"/>
  <c r="C6" i="41"/>
  <c r="D32" i="10"/>
  <c r="D24" i="10"/>
  <c r="D16" i="10"/>
  <c r="C30" i="16"/>
  <c r="C21" i="16"/>
  <c r="C13" i="16"/>
  <c r="C7" i="41"/>
  <c r="E20" i="10"/>
  <c r="D20" i="10" s="1"/>
  <c r="C14" i="16"/>
  <c r="C34" i="16"/>
  <c r="C11" i="41"/>
  <c r="C13" i="41"/>
  <c r="C17" i="17"/>
  <c r="C27" i="17"/>
  <c r="C19" i="17"/>
  <c r="C7" i="16"/>
  <c r="C23" i="16"/>
  <c r="C15" i="16"/>
  <c r="C19" i="10"/>
  <c r="C45" i="9"/>
  <c r="C85" i="9"/>
  <c r="C34" i="17"/>
  <c r="C31" i="16"/>
  <c r="C12" i="10"/>
  <c r="C7" i="17"/>
  <c r="C31" i="17"/>
  <c r="C26" i="17"/>
  <c r="C18" i="17"/>
  <c r="C10" i="17"/>
  <c r="C28" i="17"/>
  <c r="C20" i="17"/>
  <c r="C12" i="17"/>
  <c r="C27" i="16"/>
  <c r="C33" i="16"/>
  <c r="C26" i="16"/>
  <c r="C22" i="16"/>
  <c r="C10" i="16"/>
  <c r="C7" i="15"/>
  <c r="C6" i="15"/>
  <c r="C33" i="10"/>
  <c r="C9" i="10"/>
  <c r="C13" i="10"/>
  <c r="C77" i="9"/>
  <c r="C49" i="9"/>
  <c r="C37" i="9"/>
  <c r="C29" i="9"/>
  <c r="C13" i="9"/>
  <c r="C8" i="9"/>
  <c r="C24" i="9"/>
  <c r="C20" i="9"/>
  <c r="C16" i="9"/>
  <c r="C12" i="9"/>
  <c r="C44" i="9"/>
  <c r="C81" i="9"/>
  <c r="C73" i="9"/>
  <c r="C69" i="9"/>
  <c r="C65" i="9"/>
  <c r="C61" i="9"/>
  <c r="C90" i="9"/>
  <c r="C91" i="9"/>
  <c r="C6" i="9"/>
  <c r="C74" i="9"/>
  <c r="C70" i="9"/>
  <c r="C66" i="9"/>
  <c r="C50" i="9"/>
  <c r="C38" i="9"/>
  <c r="C34" i="9"/>
  <c r="C22" i="9"/>
  <c r="C18" i="9"/>
  <c r="C82" i="9"/>
  <c r="C5" i="8"/>
  <c r="C79" i="8"/>
  <c r="C75" i="8"/>
  <c r="C71" i="8"/>
  <c r="C67" i="8"/>
  <c r="C63" i="8"/>
  <c r="C59" i="8"/>
  <c r="C55" i="8"/>
  <c r="C51" i="8"/>
  <c r="C47" i="8"/>
  <c r="C43" i="8"/>
  <c r="C39" i="8"/>
  <c r="C35" i="8"/>
  <c r="C31" i="8"/>
  <c r="C27" i="8"/>
  <c r="C23" i="8"/>
  <c r="C19" i="8"/>
  <c r="C15" i="8"/>
  <c r="C11" i="8"/>
  <c r="C7" i="8"/>
  <c r="C84" i="8"/>
  <c r="C88" i="8"/>
  <c r="C90" i="8"/>
  <c r="C6" i="8"/>
  <c r="C78" i="8"/>
  <c r="C74" i="8"/>
  <c r="C70" i="8"/>
  <c r="C66" i="8"/>
  <c r="C62" i="8"/>
  <c r="C58" i="8"/>
  <c r="C54" i="8"/>
  <c r="C50" i="8"/>
  <c r="C46" i="8"/>
  <c r="C42" i="8"/>
  <c r="C38" i="8"/>
  <c r="C34" i="8"/>
  <c r="C30" i="8"/>
  <c r="C26" i="8"/>
  <c r="C22" i="8"/>
  <c r="C18" i="8"/>
  <c r="C14" i="8"/>
  <c r="C10" i="8"/>
  <c r="C83" i="8"/>
  <c r="C87" i="8"/>
  <c r="C91" i="8"/>
  <c r="C81" i="8"/>
  <c r="C77" i="8"/>
  <c r="C73" i="8"/>
  <c r="C69" i="8"/>
  <c r="C65" i="8"/>
  <c r="C61" i="8"/>
  <c r="C57" i="8"/>
  <c r="C53" i="8"/>
  <c r="C49" i="8"/>
  <c r="C45" i="8"/>
  <c r="C41" i="8"/>
  <c r="C37" i="8"/>
  <c r="C33" i="8"/>
  <c r="C29" i="8"/>
  <c r="C25" i="8"/>
  <c r="C21" i="8"/>
  <c r="C17" i="8"/>
  <c r="C13" i="8"/>
  <c r="C9" i="8"/>
  <c r="C86" i="8"/>
  <c r="C80" i="8"/>
  <c r="C76" i="8"/>
  <c r="C72" i="8"/>
  <c r="C68" i="8"/>
  <c r="C64" i="8"/>
  <c r="C60" i="8"/>
  <c r="C56" i="8"/>
  <c r="C52" i="8"/>
  <c r="C48" i="8"/>
  <c r="C44" i="8"/>
  <c r="C40" i="8"/>
  <c r="C36" i="8"/>
  <c r="C32" i="8"/>
  <c r="C28" i="8"/>
  <c r="C24" i="8"/>
  <c r="C20" i="8"/>
  <c r="C16" i="8"/>
  <c r="C12" i="8"/>
  <c r="C8" i="8"/>
  <c r="C82" i="8"/>
  <c r="C85" i="8"/>
  <c r="C89" i="8"/>
  <c r="C57" i="9"/>
  <c r="C21" i="9"/>
  <c r="C9" i="9"/>
  <c r="C78" i="9"/>
  <c r="C30" i="9"/>
  <c r="C5" i="9"/>
  <c r="C59" i="9"/>
  <c r="C39" i="9"/>
  <c r="C31" i="9"/>
  <c r="C23" i="9"/>
  <c r="C15" i="9"/>
  <c r="C7" i="9"/>
  <c r="C29" i="17"/>
  <c r="C21" i="17"/>
  <c r="C13" i="17"/>
  <c r="C6" i="17"/>
  <c r="C18" i="16"/>
  <c r="C9" i="15"/>
  <c r="C34" i="15"/>
  <c r="C22" i="15"/>
  <c r="C14" i="15"/>
  <c r="C30" i="15"/>
  <c r="C31" i="15"/>
  <c r="C29" i="15"/>
  <c r="C32" i="15"/>
  <c r="D21" i="10"/>
  <c r="D9" i="10"/>
  <c r="D29" i="10"/>
  <c r="C21" i="10"/>
  <c r="D17" i="10"/>
  <c r="C16" i="10"/>
  <c r="C32" i="10"/>
  <c r="E28" i="10"/>
  <c r="D28" i="10" s="1"/>
  <c r="C24" i="10"/>
  <c r="E34" i="10"/>
  <c r="D34" i="10" s="1"/>
  <c r="C18" i="10"/>
  <c r="E36" i="10"/>
  <c r="D36" i="10" s="1"/>
  <c r="C51" i="9"/>
  <c r="C47" i="9"/>
  <c r="C43" i="9"/>
  <c r="C62" i="9"/>
  <c r="C54" i="9"/>
  <c r="C46" i="9"/>
  <c r="C42" i="9"/>
  <c r="C26" i="9"/>
  <c r="C10" i="9"/>
  <c r="C86" i="9"/>
  <c r="C53" i="9"/>
  <c r="C41" i="9"/>
  <c r="C33" i="9"/>
  <c r="C17" i="9"/>
  <c r="C89" i="9"/>
  <c r="E35" i="10"/>
  <c r="D35" i="10" s="1"/>
  <c r="C35" i="10"/>
  <c r="C23" i="10"/>
  <c r="C83" i="9"/>
  <c r="C87" i="9"/>
  <c r="C84" i="9"/>
  <c r="C88" i="9"/>
  <c r="C76" i="9"/>
  <c r="C64" i="9"/>
  <c r="D8" i="10"/>
  <c r="E27" i="10"/>
  <c r="D27" i="10" s="1"/>
  <c r="E23" i="10"/>
  <c r="D23" i="10" s="1"/>
  <c r="C8" i="10"/>
  <c r="C30" i="10"/>
  <c r="E26" i="10"/>
  <c r="D26" i="10" s="1"/>
  <c r="C22" i="10"/>
  <c r="E18" i="10"/>
  <c r="D18" i="10" s="1"/>
  <c r="C14" i="10"/>
  <c r="E10" i="10"/>
  <c r="D10" i="10" s="1"/>
  <c r="D15" i="10"/>
  <c r="C36" i="10"/>
  <c r="C29" i="10"/>
  <c r="C25" i="10"/>
  <c r="E11" i="10"/>
  <c r="D11" i="10" s="1"/>
  <c r="E33" i="10"/>
  <c r="D33" i="10" s="1"/>
  <c r="C34" i="10"/>
  <c r="C11" i="10"/>
  <c r="C27" i="10"/>
  <c r="C17" i="10"/>
  <c r="E19" i="10"/>
  <c r="D19" i="10" s="1"/>
  <c r="C10" i="10"/>
  <c r="C26" i="10"/>
  <c r="C15" i="10"/>
  <c r="E25" i="10"/>
  <c r="D25" i="10" s="1"/>
  <c r="C31" i="10"/>
  <c r="E31" i="10"/>
  <c r="D31" i="10" l="1"/>
</calcChain>
</file>

<file path=xl/sharedStrings.xml><?xml version="1.0" encoding="utf-8"?>
<sst xmlns="http://schemas.openxmlformats.org/spreadsheetml/2006/main" count="5419" uniqueCount="413">
  <si>
    <t>CONTENTS</t>
  </si>
  <si>
    <t>GLOSSARY</t>
  </si>
  <si>
    <t>MONETARY SECTOR</t>
  </si>
  <si>
    <t>Currency in Circulation</t>
  </si>
  <si>
    <t>Monetary Aggregates: M0, M1, Quasi Money and M2</t>
  </si>
  <si>
    <t>Brunei Darussalam Central Bank: Statement of Assets</t>
  </si>
  <si>
    <t>Brunei Darussalam Central Bank: Statement of Capital and Liabilities</t>
  </si>
  <si>
    <t>Brunei Government Securities: Sukuk Al-Ijarah Issuances and Outstanding</t>
  </si>
  <si>
    <t>1.5.1 Brunei Government Securities: Sukuk Al-Ijarah Yields</t>
  </si>
  <si>
    <t>BANKING SECTOR</t>
  </si>
  <si>
    <t>Banking System including TAIB: Statement of Assets</t>
  </si>
  <si>
    <t>Banking System including TAIB: Statement of Capital and Liabilities</t>
  </si>
  <si>
    <t>Banking System including TAIB: Direction of Lending</t>
  </si>
  <si>
    <t>Banking System including TAIB: Non-Performing Loans (NPL) / NPL Ratio</t>
  </si>
  <si>
    <t>Banking System including TAIB: Financial Soundness Indicators</t>
  </si>
  <si>
    <t>Finance Companies: Assets, Deposits and Loans/Financing</t>
  </si>
  <si>
    <t>INSURANCE/ TAKAFUL SECTOR</t>
  </si>
  <si>
    <t>Insurance / Takaful: Assets</t>
  </si>
  <si>
    <t>Insurance / Takaful: Gross Premiums</t>
  </si>
  <si>
    <t>Insurance / Takaful: Gross Claims</t>
  </si>
  <si>
    <t>RESIDENTIAL PROPERTY MARKET</t>
  </si>
  <si>
    <t>Number of transactions by Property Type</t>
  </si>
  <si>
    <t>Total value of transactions by Property Type</t>
  </si>
  <si>
    <t>Median purchase price of transactions by Property Type</t>
  </si>
  <si>
    <t>Number of transactions by District and Property Type</t>
  </si>
  <si>
    <t>Total value of transactions by Property Type in Brunei-Muara District</t>
  </si>
  <si>
    <t>Residential Property Market: Median purchase price of transactions by Property Type in Brunei-Muara District</t>
  </si>
  <si>
    <t>Residential Property Price Index</t>
  </si>
  <si>
    <t>BUSINESS SENTIMENT INDEX</t>
  </si>
  <si>
    <t>Business Sentiment Index by sub-indices</t>
  </si>
  <si>
    <t>Business Sentiment Index with sub-indices by economic sector</t>
  </si>
  <si>
    <t>Business Sentiment Index with sub-indices by business size</t>
  </si>
  <si>
    <t>OTHER STATISTICS</t>
  </si>
  <si>
    <t>Interest Rates: Banking Institutions and Finance Companies</t>
  </si>
  <si>
    <t>Exchange Rates: Brunei Dollar</t>
  </si>
  <si>
    <t>BDCB Overnight Standing Facilities Rates</t>
  </si>
  <si>
    <t>A</t>
  </si>
  <si>
    <t>Active Circulation*</t>
  </si>
  <si>
    <t>Active Circulation does not include cash holdings of commercial banks in Brunei Darussalam and Brunei currency held by Monetary Authority of Singapore pending repatriation.</t>
  </si>
  <si>
    <t>B</t>
  </si>
  <si>
    <t>Broad Money*</t>
  </si>
  <si>
    <t>Broad money consists of Narrow Money and Quasi Money.</t>
  </si>
  <si>
    <t>Business Sentiment Index</t>
  </si>
  <si>
    <t xml:space="preserve">The index is based on monthly surveys conducted on selected micro to large businesses, from all economic sectors in the country. The monthly index is designed to measure the level of business confidence/sentiment in the country. It serves to assess the current business climate of the private sector as a whole as well as within those sectors. As such, the index can be a leading macroeconomic indicator of economic growth with a forward-looking element. </t>
  </si>
  <si>
    <t>C</t>
  </si>
  <si>
    <t>Central Bank</t>
  </si>
  <si>
    <t>Central Bank is the national financial institution that exercises control over key aspects of the financial system and carries out such activities as issuing currency, managing international reserves, transacting with the International Monetary Fund, and providing credit to other depository corporations.</t>
  </si>
  <si>
    <t>Currency</t>
  </si>
  <si>
    <t>Currency consists of notes and coins that are fixed nominal values and are issued by central bank.</t>
  </si>
  <si>
    <t>D</t>
  </si>
  <si>
    <t>Deposits</t>
  </si>
  <si>
    <t>Deposits include all claims on the central bank, other depository corporations, government units, and in some cases, other institutional units that are represented by evidence of deposit.</t>
  </si>
  <si>
    <t>F</t>
  </si>
  <si>
    <t>Financial Derivatives</t>
  </si>
  <si>
    <t>Financial Derivatives contract is a financial instrument that is linked to a specific financial instrument, indicator, or commodity, and through which specific financial risks can be traded in their own right in financial markets.</t>
  </si>
  <si>
    <t>Foreign-controlled Nonfinancial Corporations</t>
  </si>
  <si>
    <t>Foreign-controlled Nonfinancial Corporations are resident nonfinancial corporations and quasi-corporations controlled by nonresidents.</t>
  </si>
  <si>
    <t>M</t>
  </si>
  <si>
    <t>Monetary Gold</t>
  </si>
  <si>
    <t>Monetary Gold consists only of gold held by the central bank or government as part of official reserves.</t>
  </si>
  <si>
    <t>N</t>
  </si>
  <si>
    <t>Narrow Money*</t>
  </si>
  <si>
    <t>Narrow Money consists of currency outside banks and demand deposits of private sector.</t>
  </si>
  <si>
    <t>National Private Nonfinancial Corporations</t>
  </si>
  <si>
    <t>National Private Nonfinancial Corporations are resident nonfinancial corporations and quasi-corporations that are not controlled by government or nonresident units.</t>
  </si>
  <si>
    <t>Nonfinancial Assets</t>
  </si>
  <si>
    <t>Nonfinancial Assets consist of tangible assets, both produced and non-produced, and intangible assets for which no corresponding liabilities are recorded.</t>
  </si>
  <si>
    <t>Nonfinancial Corporations</t>
  </si>
  <si>
    <t>Nonfinancial Corporations sector encompasses corporations and quasi-corporations engaging primarily in the production of goods and nonfinancial services.</t>
  </si>
  <si>
    <t>O</t>
  </si>
  <si>
    <t>Other Depository Corporations (ODCs)*</t>
  </si>
  <si>
    <t>ODCs subsector consists of licensed commercial banks, licensed finance companies and the Islamic Trust Fund.</t>
  </si>
  <si>
    <t>Other Financial Corporations (OFCs)*</t>
  </si>
  <si>
    <t>OFCs subsector consists of insurance and takaful companies, asset management companies and pension fund in Brunei as well as offshore banking and insurance institutions.</t>
  </si>
  <si>
    <t>Other Nonfinancial Corporations (ONFCs)</t>
  </si>
  <si>
    <t>ONFCs comprise foreign-controlled and national private nonfinancial corporations.</t>
  </si>
  <si>
    <t>P</t>
  </si>
  <si>
    <t>Public Nonfinancial Corporations (PNFCs)</t>
  </si>
  <si>
    <t>PNFCs are resident nonfinancial corporations and quasi-corporations controlled by the government units.</t>
  </si>
  <si>
    <t>Q</t>
  </si>
  <si>
    <t>Quasi-Corporations</t>
  </si>
  <si>
    <t>Quasi-Corporations are unincorporated enterprises that function as corporations.</t>
  </si>
  <si>
    <t>Quasi Money*</t>
  </si>
  <si>
    <t>Quasi Money consists of Fixed Deposits, and Savings and Other Deposits.</t>
  </si>
  <si>
    <t>R</t>
  </si>
  <si>
    <t>Residential Property Market</t>
  </si>
  <si>
    <t>Data is derived from loans/financing approved by banks operating in Brunei Darussalam to purchase residential property in the country, inclusive of customers building houses on their own land. For clarity, this excludes shophouses, loans for developers to develop residential properties for sale, loans/financing to renovate houses and loans/financing transferred from other banks. This also excludes cash transactions, the various Brunei Government national housing schemes and Brunei Government's/non-financial corporates' internal loan schemes for employees.</t>
  </si>
  <si>
    <t>S</t>
  </si>
  <si>
    <t>Securities Other Than Shares</t>
  </si>
  <si>
    <t>Securities Other Than Shares are negotiable instruments serving as evidence that units have obligations to settle by means of providing cash, a financial instrument, or some other item of economic value.</t>
  </si>
  <si>
    <t>Shares and Other Equity</t>
  </si>
  <si>
    <t>Shares and Other Equity comprise all instruments and records acknowledging after the claims of all creditors have been met, claims on the residual value of a corporations.</t>
  </si>
  <si>
    <t>Special Drawing Rights (SDRs)</t>
  </si>
  <si>
    <t>SDRs are international reserve assets created by the International Monetary Fund (IMF) and allocated to members to supplement existing official reserves.</t>
  </si>
  <si>
    <t>*Definitions in Brunei Darussalam’s context</t>
  </si>
  <si>
    <t>Source: Monetary and Financial Statistics Manual (MFSM), 2000</t>
  </si>
  <si>
    <t>1.1 Currency in Circulation</t>
  </si>
  <si>
    <t>Millions of Brunei Dollars</t>
  </si>
  <si>
    <t>End of Period</t>
  </si>
  <si>
    <t>Gross Circulation</t>
  </si>
  <si>
    <t>Active Circulation</t>
  </si>
  <si>
    <t>Active Circulation Over Gross Circulation</t>
  </si>
  <si>
    <t>Total</t>
  </si>
  <si>
    <t>Notes</t>
  </si>
  <si>
    <t>Coins</t>
  </si>
  <si>
    <t>Jan</t>
  </si>
  <si>
    <t>Feb</t>
  </si>
  <si>
    <t>Mar</t>
  </si>
  <si>
    <t>Apr</t>
  </si>
  <si>
    <t>May</t>
  </si>
  <si>
    <t>Jun</t>
  </si>
  <si>
    <t>July</t>
  </si>
  <si>
    <t>Aug</t>
  </si>
  <si>
    <t>Sep</t>
  </si>
  <si>
    <t>Oct</t>
  </si>
  <si>
    <t>Nov</t>
  </si>
  <si>
    <t>Dec</t>
  </si>
  <si>
    <t>Jul</t>
  </si>
  <si>
    <t>Source: Monetary Operations / Development and International Department, BDCB</t>
  </si>
  <si>
    <t>Note:</t>
  </si>
  <si>
    <t>Figures may not add up due to rounding</t>
  </si>
  <si>
    <t>1.2.1 Components of Broad Money</t>
  </si>
  <si>
    <t>M2: Broad Money</t>
  </si>
  <si>
    <t>Quasi Money</t>
  </si>
  <si>
    <t>National Currency Held by the Banks</t>
  </si>
  <si>
    <t>Demand Deposits</t>
  </si>
  <si>
    <t>Source: Monetary Policy and Management Department, AMBD</t>
  </si>
  <si>
    <t>1.3 Autoriti Monetari Brunei Darussalam : Monetary Survey</t>
  </si>
  <si>
    <t>Net Foreign Assets</t>
  </si>
  <si>
    <t>Claims on ODC</t>
  </si>
  <si>
    <t>Net Claims on CG</t>
  </si>
  <si>
    <t>Claims on Other Sectors</t>
  </si>
  <si>
    <t>Monetary Base</t>
  </si>
  <si>
    <t>Other Liabilities to ODC</t>
  </si>
  <si>
    <t>Deposits and Securities Other Than Shares</t>
  </si>
  <si>
    <t>Loans</t>
  </si>
  <si>
    <t>Other Items (Net)</t>
  </si>
  <si>
    <t>Claims on NR</t>
  </si>
  <si>
    <t>Liabilities to NR</t>
  </si>
  <si>
    <t>Claims on CG</t>
  </si>
  <si>
    <t>Liabilities to CG</t>
  </si>
  <si>
    <t>CIC</t>
  </si>
  <si>
    <t>Liabilities to ODC</t>
  </si>
  <si>
    <t>Liabilities to Other Sectors</t>
  </si>
  <si>
    <t>Abbreviations:</t>
  </si>
  <si>
    <t>NR</t>
  </si>
  <si>
    <t>Nonresidents</t>
  </si>
  <si>
    <t>CG</t>
  </si>
  <si>
    <t>Central Government</t>
  </si>
  <si>
    <t>S&amp;L</t>
  </si>
  <si>
    <t>State and Local Government</t>
  </si>
  <si>
    <t>ODC</t>
  </si>
  <si>
    <t>Other Depository Corporations</t>
  </si>
  <si>
    <t>OFC</t>
  </si>
  <si>
    <t>Other Financial Corporations</t>
  </si>
  <si>
    <t>PNFC</t>
  </si>
  <si>
    <t>Public Nonfinancial Corporations</t>
  </si>
  <si>
    <t>Other Sectors consists of OFC, S&amp;L, PNFC, and Private Sector</t>
  </si>
  <si>
    <t>1.2 Monetary Aggregates: M0, M1, Quasi Money, and M2</t>
  </si>
  <si>
    <t>M0: Currency in Circulation</t>
  </si>
  <si>
    <t>M1: Narrow Money</t>
  </si>
  <si>
    <t>Currency Outside Banks</t>
  </si>
  <si>
    <t>1.3 Brunei Darussalam Central Bank : Statement of Assets</t>
  </si>
  <si>
    <t>Total Assets</t>
  </si>
  <si>
    <t>Monetary Gold and SDRs</t>
  </si>
  <si>
    <t>Currency and Deposits</t>
  </si>
  <si>
    <t>Other Assets</t>
  </si>
  <si>
    <t>Source: Corporate Services Department, BDCB</t>
  </si>
  <si>
    <t>* Revised data</t>
  </si>
  <si>
    <t>1.4 Brunei Darussalam Central Bank : Statement of Capital and Liabilities</t>
  </si>
  <si>
    <t>Total Liabilities</t>
  </si>
  <si>
    <t>Paid-up Capital</t>
  </si>
  <si>
    <t>SDR Allocations</t>
  </si>
  <si>
    <t>Other Liabilities</t>
  </si>
  <si>
    <t>1.5 Brunei Government Securities: Sukuk Al-Ijarah Issuances and Outstanding</t>
  </si>
  <si>
    <t>Issuances</t>
  </si>
  <si>
    <t>Outstanding</t>
  </si>
  <si>
    <t>3 Months</t>
  </si>
  <si>
    <t>6 Months</t>
  </si>
  <si>
    <t>9 Months</t>
  </si>
  <si>
    <t>1 Year</t>
  </si>
  <si>
    <t>-</t>
  </si>
  <si>
    <t>April</t>
  </si>
  <si>
    <t>1.5.1 Brunei Government Securities : Sukuk Al-Ijarah Yield</t>
  </si>
  <si>
    <t>Percent per annum</t>
  </si>
  <si>
    <t>Maturity</t>
  </si>
  <si>
    <t xml:space="preserve">Oct </t>
  </si>
  <si>
    <t>2.1 Banking System including TAIB: Statement of Assets</t>
  </si>
  <si>
    <t>Notes and Coins Held</t>
  </si>
  <si>
    <t>Balances with BDCB, including Minimum Cash Balance</t>
  </si>
  <si>
    <t>Amount Due From Banks and Financial Institutions</t>
  </si>
  <si>
    <t>Loan and Advances / Financing (Net)</t>
  </si>
  <si>
    <t>Investments</t>
  </si>
  <si>
    <t>In Brunei Darussalam</t>
  </si>
  <si>
    <t>Outside Brunei Darussalam</t>
  </si>
  <si>
    <t>Source: Regulatory and Supervision Department, BDCB</t>
  </si>
  <si>
    <t>2.2 Banking System including TAIB: Statement of Capital and Liabilities</t>
  </si>
  <si>
    <t>Total 
Liabilities</t>
  </si>
  <si>
    <t>Deposits (Non-bank Customers)</t>
  </si>
  <si>
    <t>Due to Banks</t>
  </si>
  <si>
    <t>Other (Capital Funds and Other Liabilities)</t>
  </si>
  <si>
    <t>Demand</t>
  </si>
  <si>
    <t>Savings</t>
  </si>
  <si>
    <t>Time</t>
  </si>
  <si>
    <t>Others</t>
  </si>
  <si>
    <t>2.3 Banking System including TAIB: Direction of Lending</t>
  </si>
  <si>
    <t>Loans and Advances / Financing</t>
  </si>
  <si>
    <t>Domestic Lending</t>
  </si>
  <si>
    <t>Foreign Lending</t>
  </si>
  <si>
    <t>Household Sector</t>
  </si>
  <si>
    <t>Non-household Sector</t>
  </si>
  <si>
    <t>Personal Loans</t>
  </si>
  <si>
    <t>Property Financing</t>
  </si>
  <si>
    <t>Agricultural</t>
  </si>
  <si>
    <t>Financial</t>
  </si>
  <si>
    <t>Manufacturing</t>
  </si>
  <si>
    <t>Transportation</t>
  </si>
  <si>
    <t>Infrastructure</t>
  </si>
  <si>
    <t>Traders</t>
  </si>
  <si>
    <t>Services</t>
  </si>
  <si>
    <t>Commercial (Property Development) and Other Construction</t>
  </si>
  <si>
    <t>Tourism</t>
  </si>
  <si>
    <t>Telecommunication and Information Technology</t>
  </si>
  <si>
    <t>Vehicle (Automobiles)</t>
  </si>
  <si>
    <t>Credit Card</t>
  </si>
  <si>
    <t>Consumer Durables</t>
  </si>
  <si>
    <t>Home Improvement - Interior Decorations etc.</t>
  </si>
  <si>
    <t>General Consumption and Other Personal Loans</t>
  </si>
  <si>
    <t>Land Purchases and Constructions</t>
  </si>
  <si>
    <t>Housing Purchase</t>
  </si>
  <si>
    <t>Home Improvement (Structural, Renovation etc.)</t>
  </si>
  <si>
    <t>Q1</t>
  </si>
  <si>
    <t>Q2</t>
  </si>
  <si>
    <t>Q3</t>
  </si>
  <si>
    <t>Q4</t>
  </si>
  <si>
    <t>2.4 Banking System including TAIB: Non-Performing Loans/Financing (NPLF) / NPLF Ratio</t>
  </si>
  <si>
    <t>NPLF Category</t>
  </si>
  <si>
    <t>NPLF Ratio 
(%)</t>
  </si>
  <si>
    <t>Over 90 days less 180 days</t>
  </si>
  <si>
    <t>Over 180 days less 360 days</t>
  </si>
  <si>
    <t>Over 360 days</t>
  </si>
  <si>
    <t>Over 90 days less 180 days + Credit Impairment Factors</t>
  </si>
  <si>
    <t>Over 180 days less 360 days + Credit Impairment Factors</t>
  </si>
  <si>
    <t>Over 360 days + Credit Impairment Factors</t>
  </si>
  <si>
    <t>Notes:</t>
  </si>
  <si>
    <t>1. Figures may not add up due to rounding</t>
  </si>
  <si>
    <r>
      <t xml:space="preserve">2. As of Q2 2021 reporting, the data will be changed from Days Past Due to Classification in accordance to BDCB's Notice on Prudential Treatment of Problem Assets and Accounting for Expected Credit Losses. Under the new category, Non-Performing Loans/Financing includes the Days Past Due as well as credit impairment factors under the IFRS 9. 
      </t>
    </r>
    <r>
      <rPr>
        <sz val="9"/>
        <color theme="1" tint="0.249977111117893"/>
        <rFont val="Heuristica"/>
        <family val="1"/>
      </rPr>
      <t xml:space="preserve"> </t>
    </r>
    <r>
      <rPr>
        <u/>
        <sz val="9"/>
        <color theme="1" tint="0.249977111117893"/>
        <rFont val="Heuristica"/>
        <family val="1"/>
      </rPr>
      <t>Substandard</t>
    </r>
    <r>
      <rPr>
        <sz val="9"/>
        <color theme="1" tint="0.249977111117893"/>
        <rFont val="Heuristica"/>
        <family val="1"/>
      </rPr>
      <t xml:space="preserve">
       (Over 90 days less 180 days + Credit Impairment Factors)
      </t>
    </r>
    <r>
      <rPr>
        <u/>
        <sz val="9"/>
        <color theme="1" tint="0.249977111117893"/>
        <rFont val="Heuristica"/>
        <family val="1"/>
      </rPr>
      <t>Doubtful</t>
    </r>
    <r>
      <rPr>
        <sz val="9"/>
        <color theme="1" tint="0.249977111117893"/>
        <rFont val="Heuristica"/>
        <family val="1"/>
      </rPr>
      <t xml:space="preserve">
       (Over 180 days less 360 days + Credit Impairment Factors)
      </t>
    </r>
    <r>
      <rPr>
        <u/>
        <sz val="9"/>
        <color theme="1" tint="0.249977111117893"/>
        <rFont val="Heuristica"/>
        <family val="1"/>
      </rPr>
      <t>Loss</t>
    </r>
    <r>
      <rPr>
        <sz val="9"/>
        <color theme="1" tint="0.249977111117893"/>
        <rFont val="Heuristica"/>
        <family val="1"/>
      </rPr>
      <t xml:space="preserve">
       (Over 360 days + Credit Impairment Factors)</t>
    </r>
  </si>
  <si>
    <t xml:space="preserve">Further information: https://www.bdcb.gov.bn/SiteAssets/Pages/Legislation-And-Regulations/Notice%20on%20Prudential%20Treatment%20of%20Problem%20Assets%20and%20Accounting%20for%20ECL%20(Banks-IslamicBanks)%20(27DEC2018).pdf </t>
  </si>
  <si>
    <t>2.5 Banking System including TAIB: Financial Soundness Indicators</t>
  </si>
  <si>
    <t>Percent</t>
  </si>
  <si>
    <t>Capital Adequacy</t>
  </si>
  <si>
    <t>Assets Quality</t>
  </si>
  <si>
    <t>Profitability (Annualized)</t>
  </si>
  <si>
    <t>Liquidity</t>
  </si>
  <si>
    <t>Regulatory Capital to Risk Weighted Assets</t>
  </si>
  <si>
    <t>Tier 1 Capital to Risk Weighted Assets</t>
  </si>
  <si>
    <t>Non Performing Loans/Financing (Net of Specific Provisions) to Capital Funds</t>
  </si>
  <si>
    <t xml:space="preserve">Non Performing Loans/Financing to Gross Loans/Financing </t>
  </si>
  <si>
    <t>Net Non Performing Loans/Financing (Net of provisions) to Gross Loans/Financing</t>
  </si>
  <si>
    <t>Provision Coverage (Specific Provisions to Total NPLFs)</t>
  </si>
  <si>
    <t>Return on Assets (Before Tax)</t>
  </si>
  <si>
    <t>Return on Equity (After Tax)</t>
  </si>
  <si>
    <t>Net Interest/Profit margin to Gross Income</t>
  </si>
  <si>
    <t xml:space="preserve"> Efficiency Ratio</t>
  </si>
  <si>
    <t>Liquid Assets to Total Assets</t>
  </si>
  <si>
    <t xml:space="preserve">Liquid Assets to Total Deposits </t>
  </si>
  <si>
    <t>Liquid Assets to Demand and Savings Deposits (Non bank customers)</t>
  </si>
  <si>
    <t xml:space="preserve">Loans/Financing to Deposits Ratio </t>
  </si>
  <si>
    <t>2.6 Finance Companies: Assets, Deposits and Loans/Financing</t>
  </si>
  <si>
    <t>Assets</t>
  </si>
  <si>
    <t>Loans/Financing</t>
  </si>
  <si>
    <t>3.1 Insurance / Takaful: Assets</t>
  </si>
  <si>
    <t>Conventional</t>
  </si>
  <si>
    <t>Takaful</t>
  </si>
  <si>
    <t>Non-Life</t>
  </si>
  <si>
    <t>Life</t>
  </si>
  <si>
    <t>Non-life</t>
  </si>
  <si>
    <t>Family</t>
  </si>
  <si>
    <t>3.2 Insurance / Takaful: Gross Premiums</t>
  </si>
  <si>
    <t>Gross Premiums</t>
  </si>
  <si>
    <t>3.3 Insurance / Takaful: Gross Claims</t>
  </si>
  <si>
    <t>Gross Claims</t>
  </si>
  <si>
    <t xml:space="preserve"> -3.72*</t>
  </si>
  <si>
    <t>- Figures may not add up due to rounding</t>
  </si>
  <si>
    <t>- On Q2 2020, the negative Gross Claims for Non-Life Takaful is due to overprovision of gross claims.</t>
  </si>
  <si>
    <t>- On Q4 2021, the negative Gross Claims for Non-Life Takaful is due to release of claims provision.</t>
  </si>
  <si>
    <t>4.1 Residential Property Market: No. of transactions by Property Type</t>
  </si>
  <si>
    <t>Number</t>
  </si>
  <si>
    <t>Transactions by Property Type</t>
  </si>
  <si>
    <t>Detached</t>
  </si>
  <si>
    <t>Semi-Detached</t>
  </si>
  <si>
    <t>Terrace</t>
  </si>
  <si>
    <t>Apartment</t>
  </si>
  <si>
    <t>Land</t>
  </si>
  <si>
    <t>4.2 Residential Property Market: Total value of transactions by Property Type</t>
  </si>
  <si>
    <t>Value of transactions</t>
  </si>
  <si>
    <t>N/A</t>
  </si>
  <si>
    <t>Note: No Transactions for land purchases in Q1 2015, Q2 2017,Q4 2017, Q1 2019, Q4 2019, Q1 2020, Q3 2021, Q1 2022 and Q3 2022.</t>
  </si>
  <si>
    <t>4.3 Residential Property Market: Median purchase price of transactions by Property Type</t>
  </si>
  <si>
    <t>Thousands of Brunei Dollars</t>
  </si>
  <si>
    <t>Median purchase price of transactions</t>
  </si>
  <si>
    <t>Overall</t>
  </si>
  <si>
    <t>4.4 Residential Property Market: No. of transactions by District and Property Type</t>
  </si>
  <si>
    <t>Transactions by District</t>
  </si>
  <si>
    <t xml:space="preserve">Brunei-Muara </t>
  </si>
  <si>
    <t>Tutong</t>
  </si>
  <si>
    <t xml:space="preserve">Belait </t>
  </si>
  <si>
    <t xml:space="preserve">Temburong </t>
  </si>
  <si>
    <t>Semi-
Detached</t>
  </si>
  <si>
    <t>4.5 Residential Property Market: Total value of transactions by Property Type in Brunei-Muara District</t>
  </si>
  <si>
    <t>Value of transactions in Brunei-Muara District</t>
  </si>
  <si>
    <t>4.6 Residential Property Market: Median purchase price of transactions by Property Type in Brunei-Muara District</t>
  </si>
  <si>
    <t>Median purchase price of transactions in Brunei-Muara District</t>
  </si>
  <si>
    <t>4.7 Residential Property Market: Residential Property Price Index</t>
  </si>
  <si>
    <t>Index</t>
  </si>
  <si>
    <t>5.1 Business Sentiment Index by sub-indices</t>
  </si>
  <si>
    <t>BSI value</t>
  </si>
  <si>
    <t>Interpretation</t>
  </si>
  <si>
    <t>Above 50</t>
  </si>
  <si>
    <t>Expansion / Optimism compared to the previous month</t>
  </si>
  <si>
    <t>No change compared to the previous month</t>
  </si>
  <si>
    <t>Below 50</t>
  </si>
  <si>
    <t>Contraction / Less optimism compared to the previous month</t>
  </si>
  <si>
    <t>Note: For 1M (one month) Ahead, the result compares expected performance in the next month compared to the current month while the 3M (three month) Ahead, the result compares expected performance 3 months ahead compared to the current month.</t>
  </si>
  <si>
    <t>Threshold</t>
  </si>
  <si>
    <t>Sub-index</t>
  </si>
  <si>
    <t>Current Business Conditions</t>
  </si>
  <si>
    <t>1M Ahead Business Conditions</t>
  </si>
  <si>
    <t>Current Investment</t>
  </si>
  <si>
    <t>1M Ahead Investment</t>
  </si>
  <si>
    <t>3M Ahead Investment</t>
  </si>
  <si>
    <t>Current Employment</t>
  </si>
  <si>
    <t>1M Ahead Employment</t>
  </si>
  <si>
    <t>Current Costs</t>
  </si>
  <si>
    <t>1M Ahead Costs</t>
  </si>
  <si>
    <t>5.2 Business Sentiment Index with sub-indices by economic sector</t>
  </si>
  <si>
    <t>Note: For sub-sectors description, please refer to BSI technical notes at https://www.bdcb.gov.bn/Site%20Assets%20%20News/BSI%20Methodology%20and%20Technical%20Notes.pdf</t>
  </si>
  <si>
    <t>Current business conditions by economic sector</t>
  </si>
  <si>
    <t>Economic sector</t>
  </si>
  <si>
    <t>Oil and Gas Related</t>
  </si>
  <si>
    <t>Construction</t>
  </si>
  <si>
    <t>Wholesale &amp; Retail Trade</t>
  </si>
  <si>
    <t>Transport &amp; Communication</t>
  </si>
  <si>
    <t>Agriculture, Forestry, Fisheries &amp; Livestock</t>
  </si>
  <si>
    <t>Finance &amp; Insurance</t>
  </si>
  <si>
    <t>Real estate &amp; Ownership of Dwellings</t>
  </si>
  <si>
    <t>Hotels &amp; Restaurants</t>
  </si>
  <si>
    <t>Health &amp; Education</t>
  </si>
  <si>
    <t>Other Private Services</t>
  </si>
  <si>
    <t>1M ahead business conditions by economic sector</t>
  </si>
  <si>
    <t>Current investments by economic sector</t>
  </si>
  <si>
    <t>1M ahead investments by economic sector</t>
  </si>
  <si>
    <t>3M ahead investments by economic sector</t>
  </si>
  <si>
    <t>Current employment by economic sector</t>
  </si>
  <si>
    <t>1M ahead employment by economic sector</t>
  </si>
  <si>
    <t>Current costs by economic sector</t>
  </si>
  <si>
    <t>1M ahead costs by economic sector</t>
  </si>
  <si>
    <r>
      <rPr>
        <b/>
        <sz val="10.5"/>
        <color rgb="FF006E59"/>
        <rFont val="Heuristica"/>
        <family val="1"/>
      </rPr>
      <t>Chart 5.2:</t>
    </r>
    <r>
      <rPr>
        <b/>
        <sz val="10.5"/>
        <color theme="1"/>
        <rFont val="Heuristica"/>
        <family val="1"/>
      </rPr>
      <t xml:space="preserve"> </t>
    </r>
    <r>
      <rPr>
        <b/>
        <sz val="10.5"/>
        <color rgb="FFD4C029"/>
        <rFont val="Heuristica"/>
        <family val="1"/>
      </rPr>
      <t>BUSINESS SENTIMENT INDEX BY ECONOMIC SECTOR</t>
    </r>
  </si>
  <si>
    <t>5.3 Business Sentiment Index with sub-indices by business size</t>
  </si>
  <si>
    <t>Note: Micro (1-5 employees), Small (6-50 employees), Medium (51-100 employees) and Large (&gt;100 employees)</t>
  </si>
  <si>
    <t>Current business conditions by business size</t>
  </si>
  <si>
    <t>Business size</t>
  </si>
  <si>
    <t>Micro</t>
  </si>
  <si>
    <t>Small</t>
  </si>
  <si>
    <t>Medium</t>
  </si>
  <si>
    <t>Large</t>
  </si>
  <si>
    <t>1M ahead business conditions by business size</t>
  </si>
  <si>
    <t>Current investments by business size</t>
  </si>
  <si>
    <t>1M ahead investments by business size</t>
  </si>
  <si>
    <t>3M ahead investments by business size</t>
  </si>
  <si>
    <t>Current employment by business size</t>
  </si>
  <si>
    <t>1M ahead employment by business size</t>
  </si>
  <si>
    <t>Current costs by business size</t>
  </si>
  <si>
    <t>1M ahead costs by business size</t>
  </si>
  <si>
    <t>6.1 Interest Rates: Banking Institutions</t>
  </si>
  <si>
    <t>Average Deposit Rate 
3 Months</t>
  </si>
  <si>
    <t>Average Deposit Rate 
6 Months</t>
  </si>
  <si>
    <t>Average Deposit Rate 
12 Months</t>
  </si>
  <si>
    <t>Prime Lending Rate</t>
  </si>
  <si>
    <t>5.1 Reserve Money</t>
  </si>
  <si>
    <t>Total Reserve Money</t>
  </si>
  <si>
    <t>Components of Reserve Money</t>
  </si>
  <si>
    <t>Excess Reserves</t>
  </si>
  <si>
    <t>Source: Monetary Operations Department, AMBD</t>
  </si>
  <si>
    <t>5.2 Currency Repatriation</t>
  </si>
  <si>
    <t>Millions of Brunei / Singapore Dollars</t>
  </si>
  <si>
    <t>Brunei Currency Received from Monetary Authority of Singapore</t>
  </si>
  <si>
    <t>Singapore Currency Sent to Monetary Authority of Singapore</t>
  </si>
  <si>
    <t>6.2 Exchange Rates: Brunei Dollar (BND)</t>
  </si>
  <si>
    <t>Period</t>
  </si>
  <si>
    <t>BND to 1 unit</t>
  </si>
  <si>
    <t>BND to 100 unit</t>
  </si>
  <si>
    <t>USD</t>
  </si>
  <si>
    <t>GBP</t>
  </si>
  <si>
    <t>AUD</t>
  </si>
  <si>
    <t>EUR</t>
  </si>
  <si>
    <t>HKD</t>
  </si>
  <si>
    <t>MYR</t>
  </si>
  <si>
    <t>JPY</t>
  </si>
  <si>
    <t>THB</t>
  </si>
  <si>
    <t>Average for Period</t>
  </si>
  <si>
    <t>Source: Bloomberg</t>
  </si>
  <si>
    <t>6.3 BDCB Overnight Standing Facilities Rates</t>
  </si>
  <si>
    <t>Effective Date</t>
  </si>
  <si>
    <t>Standing Facility Deposit Rate (%)</t>
  </si>
  <si>
    <t>Standing Facility Lending Rate (%)</t>
  </si>
  <si>
    <t>Safekeeping Fees (%)</t>
  </si>
  <si>
    <t>2.7 Finance Companies: Loans/Financing</t>
  </si>
  <si>
    <t>Car Financing</t>
  </si>
  <si>
    <t xml:space="preserve">- </t>
  </si>
  <si>
    <t xml:space="preserve">-   </t>
  </si>
  <si>
    <t>Source: Regulatory and Supervision Department, AMBD</t>
  </si>
  <si>
    <t>Note: No Transactions for land purchases in Q1 2015, Q2 2017,Q4 2017, Q1 2019, Q4 2019, Q1 2020, Q3 2021, Q1 2022, Q3 2022, Q3 2023, Q4 2023, Q1 2024and Q2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</si>
</sst>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quot;$&quot;* #,##0.00_);_(&quot;$&quot;* \(#,##0.00\);_(&quot;$&quot;* &quot;-&quot;??_);_(@_)"/>
    <numFmt numFmtId="165" formatCode="_(* #,##0.00_);_(* \(#,##0.00\);_(* &quot;-&quot;??_);_(@_)"/>
    <numFmt numFmtId="166" formatCode="#,##0.000"/>
    <numFmt numFmtId="167" formatCode="#,##0;[Red]#,##0"/>
    <numFmt numFmtId="168" formatCode="0.0"/>
    <numFmt numFmtId="169" formatCode="0.000"/>
    <numFmt numFmtId="170" formatCode="[$-409]mmm\-yy;@"/>
    <numFmt numFmtId="171" formatCode="#,##0.00;[Red]#,##0.00"/>
    <numFmt numFmtId="172" formatCode="#,##0.0"/>
    <numFmt numFmtId="173" formatCode="[$-409]mmm/yy;@"/>
    <numFmt numFmtId="174" formatCode="0.0%"/>
    <numFmt numFmtId="175" formatCode="[$-409]d/mmm/yy;@"/>
    <numFmt numFmtId="176" formatCode="_(* #,##0.000_);_(* \(#,##0.000\);_(* &quot;-&quot;??_);_(@_)"/>
    <numFmt numFmtId="177" formatCode="[$-409]d\-mmm\-yy;@"/>
    <numFmt numFmtId="178" formatCode="_(* #,##0.000000_);_(* \(#,##0.000000\);_(* &quot;-&quot;??_);_(@_)"/>
    <numFmt numFmtId="179" formatCode="#,##0.0000"/>
  </numFmts>
  <fonts count="113">
    <font>
      <sz val="11"/>
      <color theme="1"/>
      <name val="Calibri"/>
      <family val="2"/>
      <scheme val="minor"/>
    </font>
    <font>
      <b/>
      <sz val="11"/>
      <color theme="1"/>
      <name val="Cambria"/>
      <family val="1"/>
    </font>
    <font>
      <sz val="11"/>
      <color theme="1"/>
      <name val="Cambria"/>
      <family val="1"/>
    </font>
    <font>
      <sz val="11"/>
      <color theme="1"/>
      <name val="Calibri"/>
      <family val="2"/>
      <scheme val="minor"/>
    </font>
    <font>
      <b/>
      <sz val="10"/>
      <color theme="1"/>
      <name val="Cambria"/>
      <family val="1"/>
    </font>
    <font>
      <sz val="10"/>
      <color theme="1"/>
      <name val="Cambria"/>
      <family val="1"/>
    </font>
    <font>
      <i/>
      <sz val="10"/>
      <color theme="1"/>
      <name val="Cambria"/>
      <family val="1"/>
    </font>
    <font>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돋움"/>
      <family val="2"/>
      <charset val="129"/>
    </font>
    <font>
      <b/>
      <sz val="18"/>
      <color theme="3"/>
      <name val="Cambria"/>
      <family val="2"/>
      <scheme val="major"/>
    </font>
    <font>
      <sz val="10"/>
      <color indexed="8"/>
      <name val="Arial"/>
      <family val="2"/>
    </font>
    <font>
      <sz val="10"/>
      <color theme="1"/>
      <name val="Cambria"/>
      <family val="1"/>
      <scheme val="major"/>
    </font>
    <font>
      <sz val="10"/>
      <name val="Geneva"/>
    </font>
    <font>
      <sz val="10"/>
      <name val="Tahoma"/>
      <family val="2"/>
    </font>
    <font>
      <sz val="11"/>
      <name val="Calibri"/>
      <family val="2"/>
    </font>
    <font>
      <sz val="11"/>
      <color theme="1"/>
      <name val="Geomanist"/>
      <family val="3"/>
    </font>
    <font>
      <i/>
      <sz val="10"/>
      <color theme="1"/>
      <name val="Geomanist"/>
      <family val="3"/>
    </font>
    <font>
      <sz val="10"/>
      <color theme="1"/>
      <name val="Geomanist"/>
      <family val="3"/>
    </font>
    <font>
      <b/>
      <sz val="10"/>
      <color theme="1"/>
      <name val="Geomanist"/>
      <family val="3"/>
    </font>
    <font>
      <sz val="9"/>
      <color theme="1"/>
      <name val="Geomanist"/>
      <family val="3"/>
    </font>
    <font>
      <sz val="10"/>
      <name val="Geomanist"/>
      <family val="3"/>
    </font>
    <font>
      <sz val="10"/>
      <color theme="1"/>
      <name val="Heuristica"/>
      <family val="1"/>
    </font>
    <font>
      <b/>
      <sz val="10"/>
      <color theme="1"/>
      <name val="Heuristica"/>
      <family val="1"/>
    </font>
    <font>
      <sz val="10"/>
      <color rgb="FFFF0000"/>
      <name val="Heuristica"/>
      <family val="1"/>
    </font>
    <font>
      <sz val="10"/>
      <name val="Heuristica"/>
      <family val="1"/>
    </font>
    <font>
      <sz val="9"/>
      <color theme="1"/>
      <name val="Heuristica"/>
      <family val="1"/>
    </font>
    <font>
      <sz val="10"/>
      <color rgb="FFFF5050"/>
      <name val="Heuristica"/>
      <family val="1"/>
    </font>
    <font>
      <b/>
      <sz val="9"/>
      <color theme="1"/>
      <name val="Heuristica"/>
      <family val="1"/>
    </font>
    <font>
      <sz val="10"/>
      <name val="Cambria"/>
      <family val="1"/>
    </font>
    <font>
      <sz val="14"/>
      <color theme="1"/>
      <name val="Geomanist"/>
      <family val="3"/>
    </font>
    <font>
      <b/>
      <sz val="10"/>
      <name val="Heuristica"/>
      <family val="1"/>
    </font>
    <font>
      <b/>
      <sz val="10"/>
      <name val="Geomanist"/>
      <family val="3"/>
    </font>
    <font>
      <b/>
      <i/>
      <sz val="10"/>
      <color theme="1"/>
      <name val="Geomanist"/>
      <family val="3"/>
    </font>
    <font>
      <sz val="10"/>
      <color theme="1"/>
      <name val="Calibri"/>
      <family val="2"/>
      <scheme val="minor"/>
    </font>
    <font>
      <b/>
      <sz val="10"/>
      <color theme="0"/>
      <name val="Heuristica"/>
      <family val="1"/>
    </font>
    <font>
      <b/>
      <sz val="10"/>
      <color theme="0"/>
      <name val="Geomanist Bold"/>
      <family val="3"/>
    </font>
    <font>
      <sz val="10"/>
      <color rgb="FF006E59"/>
      <name val="Geomanist"/>
      <family val="3"/>
    </font>
    <font>
      <sz val="10"/>
      <color rgb="FF006E59"/>
      <name val="Geomanist Bold"/>
      <family val="3"/>
    </font>
    <font>
      <sz val="10"/>
      <color theme="1"/>
      <name val="Geomanist Bold"/>
      <family val="3"/>
    </font>
    <font>
      <b/>
      <sz val="10"/>
      <color rgb="FF006E59"/>
      <name val="Heuristica"/>
      <family val="1"/>
    </font>
    <font>
      <sz val="14"/>
      <color rgb="FF006E59"/>
      <name val="Geomanist"/>
      <family val="3"/>
    </font>
    <font>
      <b/>
      <sz val="10"/>
      <color rgb="FF006E59"/>
      <name val="Geomanist Bold"/>
      <family val="3"/>
    </font>
    <font>
      <b/>
      <sz val="10"/>
      <color theme="1"/>
      <name val="Geomanist Bold"/>
      <family val="3"/>
    </font>
    <font>
      <b/>
      <sz val="10"/>
      <color rgb="FF006E59"/>
      <name val="Geomanist"/>
      <family val="3"/>
    </font>
    <font>
      <sz val="9"/>
      <color theme="1" tint="0.249977111117893"/>
      <name val="Heuristica"/>
      <family val="1"/>
    </font>
    <font>
      <b/>
      <sz val="9"/>
      <color theme="1" tint="0.249977111117893"/>
      <name val="Heuristica"/>
      <family val="1"/>
    </font>
    <font>
      <b/>
      <sz val="9"/>
      <color theme="1" tint="0.34998626667073579"/>
      <name val="Heuristica"/>
      <family val="1"/>
    </font>
    <font>
      <sz val="10"/>
      <color theme="1" tint="0.34998626667073579"/>
      <name val="Geomanist"/>
      <family val="3"/>
    </font>
    <font>
      <b/>
      <sz val="9"/>
      <color rgb="FF006E59"/>
      <name val="Geomanist"/>
      <family val="3"/>
    </font>
    <font>
      <b/>
      <sz val="16"/>
      <color rgb="FF006E59"/>
      <name val="Geomanist Bold"/>
      <family val="3"/>
    </font>
    <font>
      <b/>
      <sz val="12"/>
      <color theme="0"/>
      <name val="Geomanist Bold"/>
      <family val="3"/>
    </font>
    <font>
      <sz val="16"/>
      <color rgb="FF006E59"/>
      <name val="Geomanist Bold"/>
      <family val="3"/>
    </font>
    <font>
      <sz val="10"/>
      <color theme="0"/>
      <name val="Geomanist Bold"/>
      <family val="3"/>
    </font>
    <font>
      <sz val="10"/>
      <color rgb="FF006E59"/>
      <name val="Heuristica"/>
      <family val="1"/>
    </font>
    <font>
      <i/>
      <sz val="10"/>
      <color theme="1"/>
      <name val="Heuristica"/>
      <family val="1"/>
    </font>
    <font>
      <b/>
      <i/>
      <sz val="9"/>
      <color theme="1" tint="0.34998626667073579"/>
      <name val="Heuristica"/>
      <family val="1"/>
    </font>
    <font>
      <b/>
      <sz val="10"/>
      <color theme="1" tint="0.249977111117893"/>
      <name val="Heuristica"/>
      <family val="1"/>
    </font>
    <font>
      <b/>
      <i/>
      <sz val="9"/>
      <color theme="1" tint="0.249977111117893"/>
      <name val="Heuristica"/>
      <family val="1"/>
    </font>
    <font>
      <b/>
      <i/>
      <sz val="9"/>
      <color theme="1"/>
      <name val="Heuristica"/>
      <family val="1"/>
    </font>
    <font>
      <b/>
      <i/>
      <sz val="9"/>
      <color rgb="FFC00000"/>
      <name val="Heuristica"/>
      <family val="1"/>
    </font>
    <font>
      <b/>
      <sz val="9"/>
      <color rgb="FFC00000"/>
      <name val="Heuristica"/>
      <family val="1"/>
    </font>
    <font>
      <sz val="10"/>
      <color theme="1"/>
      <name val="Hey"/>
    </font>
    <font>
      <sz val="10"/>
      <color theme="1" tint="0.249977111117893"/>
      <name val="Hey"/>
    </font>
    <font>
      <u/>
      <sz val="9"/>
      <color theme="1" tint="0.249977111117893"/>
      <name val="Heuristica"/>
      <family val="1"/>
    </font>
    <font>
      <b/>
      <sz val="9"/>
      <color theme="0"/>
      <name val="Geomanist Bold"/>
      <family val="3"/>
    </font>
    <font>
      <b/>
      <i/>
      <sz val="10"/>
      <color rgb="FFC00000"/>
      <name val="Heuristica"/>
      <family val="1"/>
    </font>
    <font>
      <sz val="10"/>
      <color rgb="FFFFFFFF"/>
      <name val="Geomanist Bold"/>
      <family val="3"/>
    </font>
    <font>
      <b/>
      <sz val="10.5"/>
      <color theme="1"/>
      <name val="Heuristica"/>
      <family val="1"/>
    </font>
    <font>
      <b/>
      <sz val="10.5"/>
      <color rgb="FF006E59"/>
      <name val="Heuristica"/>
      <family val="1"/>
    </font>
    <font>
      <b/>
      <sz val="10.5"/>
      <color rgb="FFD4C029"/>
      <name val="Heuristica"/>
      <family val="1"/>
    </font>
    <font>
      <sz val="10"/>
      <color rgb="FFFF0000"/>
      <name val="Geomanist"/>
      <family val="3"/>
    </font>
    <font>
      <b/>
      <sz val="9"/>
      <color rgb="FF404040"/>
      <name val="Heuristica"/>
      <family val="1"/>
    </font>
    <font>
      <b/>
      <sz val="10"/>
      <color rgb="FF404040"/>
      <name val="Heuristica"/>
      <family val="1"/>
    </font>
    <font>
      <sz val="10"/>
      <color rgb="FFFF0000"/>
      <name val="Cambria"/>
      <family val="1"/>
    </font>
    <font>
      <sz val="10"/>
      <color theme="1"/>
      <name val="Arial"/>
      <family val="2"/>
    </font>
    <font>
      <b/>
      <sz val="10"/>
      <color rgb="FF206E63"/>
      <name val="Heuristica"/>
      <family val="1"/>
    </font>
    <font>
      <b/>
      <sz val="10"/>
      <color indexed="12"/>
      <name val="Times New Roman"/>
      <family val="1"/>
    </font>
    <font>
      <sz val="10"/>
      <color rgb="FF000000"/>
      <name val="Heuristica"/>
      <family val="1"/>
    </font>
    <font>
      <sz val="10"/>
      <color rgb="FF242424"/>
      <name val="Heuristica"/>
      <family val="1"/>
    </font>
    <font>
      <sz val="10"/>
      <color rgb="FF000000"/>
      <name val="Heuristica"/>
      <family val="1"/>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06E63"/>
        <bgColor indexed="64"/>
      </patternFill>
    </fill>
    <fill>
      <patternFill patternType="solid">
        <fgColor rgb="FF006E59"/>
        <bgColor indexed="64"/>
      </patternFill>
    </fill>
    <fill>
      <patternFill patternType="solid">
        <fgColor theme="1" tint="0.34998626667073579"/>
        <bgColor indexed="64"/>
      </patternFill>
    </fill>
    <fill>
      <patternFill patternType="solid">
        <fgColor rgb="FFD4C029"/>
        <bgColor indexed="64"/>
      </patternFill>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s>
  <cellStyleXfs count="435">
    <xf numFmtId="0" fontId="0" fillId="0" borderId="0"/>
    <xf numFmtId="9" fontId="3" fillId="0" borderId="0" applyFont="0" applyFill="0" applyBorder="0" applyAlignment="0" applyProtection="0"/>
    <xf numFmtId="0" fontId="7" fillId="0" borderId="0"/>
    <xf numFmtId="0" fontId="8" fillId="0" borderId="0"/>
    <xf numFmtId="165" fontId="8" fillId="0" borderId="0" applyFont="0" applyFill="0" applyBorder="0" applyAlignment="0" applyProtection="0"/>
    <xf numFmtId="0" fontId="3" fillId="0" borderId="0"/>
    <xf numFmtId="0" fontId="7" fillId="0" borderId="0"/>
    <xf numFmtId="165" fontId="3" fillId="0" borderId="0" applyFont="0" applyFill="0" applyBorder="0" applyAlignment="0" applyProtection="0"/>
    <xf numFmtId="17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8" fillId="52" borderId="28" applyNumberFormat="0" applyAlignment="0" applyProtection="0"/>
    <xf numFmtId="0" fontId="29" fillId="0" borderId="0" applyNumberFormat="0" applyFill="0" applyBorder="0" applyAlignment="0" applyProtection="0"/>
    <xf numFmtId="0" fontId="30" fillId="35"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41" borderId="27" applyNumberFormat="0" applyAlignment="0" applyProtection="0"/>
    <xf numFmtId="0" fontId="35" fillId="0" borderId="32" applyNumberFormat="0" applyFill="0" applyAlignment="0" applyProtection="0"/>
    <xf numFmtId="0" fontId="36" fillId="53" borderId="0" applyNumberFormat="0" applyBorder="0" applyAlignment="0" applyProtection="0"/>
    <xf numFmtId="0" fontId="24" fillId="54" borderId="33" applyNumberFormat="0" applyFont="0" applyAlignment="0" applyProtection="0"/>
    <xf numFmtId="0" fontId="37" fillId="51"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2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7" fillId="51" borderId="27" applyNumberFormat="0" applyAlignment="0" applyProtection="0"/>
    <xf numFmtId="0" fontId="28" fillId="52" borderId="28" applyNumberFormat="0" applyAlignment="0" applyProtection="0"/>
    <xf numFmtId="0" fontId="28" fillId="52" borderId="28" applyNumberFormat="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0" borderId="29"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1" borderId="27" applyNumberFormat="0" applyAlignment="0" applyProtection="0"/>
    <xf numFmtId="0" fontId="34" fillId="41" borderId="27" applyNumberFormat="0" applyAlignment="0" applyProtection="0"/>
    <xf numFmtId="0" fontId="35" fillId="0" borderId="32" applyNumberFormat="0" applyFill="0" applyAlignment="0" applyProtection="0"/>
    <xf numFmtId="0" fontId="35" fillId="0" borderId="32" applyNumberFormat="0" applyFill="0" applyAlignment="0" applyProtection="0"/>
    <xf numFmtId="0" fontId="36" fillId="53" borderId="0" applyNumberFormat="0" applyBorder="0" applyAlignment="0" applyProtection="0"/>
    <xf numFmtId="0" fontId="36" fillId="5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37" fillId="51" borderId="34" applyNumberFormat="0" applyAlignment="0" applyProtection="0"/>
    <xf numFmtId="0" fontId="37" fillId="51" borderId="34" applyNumberFormat="0" applyAlignment="0" applyProtection="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39" fillId="0" borderId="3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65" fontId="24" fillId="0" borderId="0" applyFont="0" applyFill="0" applyBorder="0" applyAlignment="0" applyProtection="0"/>
    <xf numFmtId="0" fontId="8" fillId="0" borderId="0"/>
    <xf numFmtId="0" fontId="3" fillId="0" borderId="0"/>
    <xf numFmtId="0" fontId="8" fillId="0" borderId="0"/>
    <xf numFmtId="0" fontId="3" fillId="0" borderId="0"/>
    <xf numFmtId="0" fontId="8"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3" fillId="3" borderId="0" applyNumberFormat="0" applyBorder="0" applyAlignment="0" applyProtection="0"/>
    <xf numFmtId="0" fontId="17" fillId="6" borderId="21" applyNumberFormat="0" applyAlignment="0" applyProtection="0"/>
    <xf numFmtId="0" fontId="19" fillId="7" borderId="24" applyNumberFormat="0" applyAlignment="0" applyProtection="0"/>
    <xf numFmtId="165" fontId="8" fillId="0" borderId="0" applyFont="0" applyFill="0" applyBorder="0" applyAlignment="0" applyProtection="0"/>
    <xf numFmtId="165" fontId="8" fillId="0" borderId="0" applyFont="0" applyFill="0" applyBorder="0" applyAlignment="0" applyProtection="0"/>
    <xf numFmtId="165" fontId="43" fillId="0" borderId="0" applyFont="0" applyFill="0" applyBorder="0" applyAlignment="0" applyProtection="0">
      <alignment vertical="top"/>
    </xf>
    <xf numFmtId="165" fontId="2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1" fillId="0" borderId="0" applyNumberFormat="0" applyFill="0" applyBorder="0" applyAlignment="0" applyProtection="0"/>
    <xf numFmtId="0" fontId="12" fillId="2" borderId="0" applyNumberFormat="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5" fillId="5" borderId="21" applyNumberFormat="0" applyAlignment="0" applyProtection="0"/>
    <xf numFmtId="0" fontId="18" fillId="0" borderId="23" applyNumberFormat="0" applyFill="0" applyAlignment="0" applyProtection="0"/>
    <xf numFmtId="0" fontId="14" fillId="4" borderId="0" applyNumberFormat="0" applyBorder="0" applyAlignment="0" applyProtection="0"/>
    <xf numFmtId="0" fontId="43" fillId="0" borderId="0">
      <alignment vertical="top"/>
    </xf>
    <xf numFmtId="0" fontId="3" fillId="8" borderId="25" applyNumberFormat="0" applyFont="0" applyAlignment="0" applyProtection="0"/>
    <xf numFmtId="0" fontId="16" fillId="6" borderId="22"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22" fillId="0" borderId="26" applyNumberFormat="0" applyFill="0" applyAlignment="0" applyProtection="0"/>
    <xf numFmtId="0" fontId="20" fillId="0" borderId="0" applyNumberFormat="0" applyFill="0" applyBorder="0" applyAlignment="0" applyProtection="0"/>
    <xf numFmtId="164" fontId="45" fillId="0" borderId="0" applyFont="0" applyFill="0" applyBorder="0" applyAlignment="0" applyProtection="0"/>
    <xf numFmtId="0" fontId="46" fillId="0" borderId="0"/>
    <xf numFmtId="173" fontId="3" fillId="0" borderId="0"/>
    <xf numFmtId="0" fontId="46" fillId="0" borderId="0"/>
    <xf numFmtId="0" fontId="47" fillId="0" borderId="0"/>
    <xf numFmtId="164" fontId="45" fillId="0" borderId="0" applyFont="0" applyFill="0" applyBorder="0" applyAlignment="0" applyProtection="0"/>
    <xf numFmtId="0" fontId="45" fillId="0" borderId="0"/>
    <xf numFmtId="165" fontId="45" fillId="0" borderId="0" applyFont="0" applyFill="0" applyBorder="0" applyAlignment="0" applyProtection="0"/>
    <xf numFmtId="9" fontId="45" fillId="0" borderId="0" applyFont="0" applyFill="0" applyBorder="0" applyAlignment="0" applyProtection="0"/>
  </cellStyleXfs>
  <cellXfs count="895">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40" fontId="5" fillId="0" borderId="10" xfId="0" applyNumberFormat="1" applyFont="1" applyBorder="1" applyAlignment="1">
      <alignment horizontal="right"/>
    </xf>
    <xf numFmtId="0" fontId="4" fillId="0" borderId="5" xfId="0" applyFont="1" applyBorder="1" applyAlignment="1">
      <alignment horizontal="center"/>
    </xf>
    <xf numFmtId="0" fontId="4" fillId="0" borderId="9" xfId="0" applyFont="1" applyBorder="1" applyAlignment="1">
      <alignment horizontal="center"/>
    </xf>
    <xf numFmtId="40" fontId="4" fillId="0" borderId="6" xfId="0" applyNumberFormat="1" applyFont="1" applyBorder="1" applyAlignment="1">
      <alignment horizontal="right"/>
    </xf>
    <xf numFmtId="40" fontId="4" fillId="0" borderId="0" xfId="0" applyNumberFormat="1" applyFont="1"/>
    <xf numFmtId="40" fontId="5" fillId="0" borderId="8" xfId="0" applyNumberFormat="1" applyFont="1" applyBorder="1" applyAlignment="1">
      <alignment horizontal="right"/>
    </xf>
    <xf numFmtId="40" fontId="4" fillId="0" borderId="9" xfId="0" applyNumberFormat="1" applyFont="1" applyBorder="1" applyAlignment="1">
      <alignment horizontal="right"/>
    </xf>
    <xf numFmtId="0" fontId="5" fillId="0" borderId="1" xfId="0" applyFont="1" applyBorder="1" applyAlignment="1">
      <alignment horizontal="center" vertical="center" wrapText="1"/>
    </xf>
    <xf numFmtId="38" fontId="5" fillId="0" borderId="8" xfId="0" applyNumberFormat="1" applyFont="1" applyBorder="1" applyAlignment="1">
      <alignment horizontal="right" vertical="center"/>
    </xf>
    <xf numFmtId="38" fontId="5" fillId="0" borderId="10"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9"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4" xfId="0" applyNumberFormat="1" applyFont="1" applyBorder="1" applyAlignment="1">
      <alignment horizontal="right" vertical="center"/>
    </xf>
    <xf numFmtId="0" fontId="5" fillId="0" borderId="0" xfId="0" applyFont="1" applyAlignment="1">
      <alignment horizontal="center" vertical="center" textRotation="180"/>
    </xf>
    <xf numFmtId="0" fontId="5" fillId="0" borderId="0" xfId="0" applyFont="1" applyAlignment="1">
      <alignment horizontal="center" vertical="center" textRotation="180" wrapText="1"/>
    </xf>
    <xf numFmtId="3" fontId="5" fillId="0" borderId="6" xfId="0" applyNumberFormat="1" applyFont="1" applyBorder="1" applyAlignment="1">
      <alignment horizontal="right" vertical="center" indent="1"/>
    </xf>
    <xf numFmtId="3" fontId="5" fillId="0" borderId="6" xfId="0" applyNumberFormat="1" applyFont="1" applyBorder="1" applyAlignment="1">
      <alignment horizontal="right" indent="1"/>
    </xf>
    <xf numFmtId="4" fontId="5" fillId="0" borderId="0" xfId="0" applyNumberFormat="1" applyFont="1"/>
    <xf numFmtId="0" fontId="5" fillId="0" borderId="0" xfId="0" applyFont="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40" fontId="5" fillId="0" borderId="0" xfId="0" applyNumberFormat="1" applyFont="1" applyAlignment="1">
      <alignment horizontal="right"/>
    </xf>
    <xf numFmtId="40" fontId="5" fillId="0" borderId="6" xfId="0" applyNumberFormat="1" applyFont="1" applyBorder="1" applyAlignment="1">
      <alignment horizontal="right"/>
    </xf>
    <xf numFmtId="40" fontId="5" fillId="0" borderId="4" xfId="0" applyNumberFormat="1" applyFont="1" applyBorder="1" applyAlignment="1">
      <alignment horizontal="right"/>
    </xf>
    <xf numFmtId="40" fontId="5" fillId="0" borderId="6" xfId="0" applyNumberFormat="1" applyFont="1" applyBorder="1" applyAlignment="1">
      <alignment horizontal="center"/>
    </xf>
    <xf numFmtId="40" fontId="5" fillId="0" borderId="4" xfId="0" applyNumberFormat="1" applyFont="1" applyBorder="1" applyAlignment="1">
      <alignment horizontal="center"/>
    </xf>
    <xf numFmtId="3" fontId="5" fillId="0" borderId="0" xfId="0" applyNumberFormat="1" applyFont="1" applyAlignment="1">
      <alignment horizontal="right"/>
    </xf>
    <xf numFmtId="3" fontId="5" fillId="0" borderId="10"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0" xfId="0" applyNumberFormat="1" applyFont="1" applyBorder="1" applyAlignment="1">
      <alignment horizontal="right"/>
    </xf>
    <xf numFmtId="3" fontId="5" fillId="0" borderId="4" xfId="0" applyNumberFormat="1" applyFont="1" applyBorder="1" applyAlignment="1">
      <alignment horizontal="right"/>
    </xf>
    <xf numFmtId="3" fontId="5" fillId="0" borderId="6"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0" fontId="5" fillId="0" borderId="4" xfId="0" applyFont="1" applyBorder="1" applyAlignment="1">
      <alignment horizontal="center" vertical="center" textRotation="180" wrapText="1"/>
    </xf>
    <xf numFmtId="3" fontId="5" fillId="0" borderId="9" xfId="0" applyNumberFormat="1" applyFont="1" applyBorder="1" applyAlignment="1">
      <alignment horizontal="right"/>
    </xf>
    <xf numFmtId="3" fontId="5" fillId="0" borderId="10" xfId="0" applyNumberFormat="1" applyFont="1" applyBorder="1" applyAlignment="1">
      <alignment horizontal="right" indent="1"/>
    </xf>
    <xf numFmtId="3" fontId="5" fillId="0" borderId="10" xfId="0" applyNumberFormat="1" applyFont="1" applyBorder="1" applyAlignment="1">
      <alignment horizontal="right" vertical="center" inden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xf numFmtId="0" fontId="44" fillId="0" borderId="0" xfId="0" applyFont="1" applyProtection="1">
      <protection locked="0"/>
    </xf>
    <xf numFmtId="165" fontId="44" fillId="0" borderId="0" xfId="7" applyFont="1" applyAlignment="1" applyProtection="1">
      <alignment horizontal="right"/>
      <protection locked="0"/>
    </xf>
    <xf numFmtId="165" fontId="44" fillId="0" borderId="0" xfId="0" applyNumberFormat="1" applyFont="1" applyAlignment="1" applyProtection="1">
      <alignment horizontal="right"/>
      <protection locked="0"/>
    </xf>
    <xf numFmtId="40" fontId="44" fillId="0" borderId="0" xfId="0" applyNumberFormat="1" applyFont="1" applyAlignment="1" applyProtection="1">
      <alignment horizontal="right"/>
      <protection locked="0"/>
    </xf>
    <xf numFmtId="2" fontId="44" fillId="0" borderId="0" xfId="0" applyNumberFormat="1" applyFont="1" applyAlignment="1" applyProtection="1">
      <alignment horizontal="right"/>
      <protection locked="0"/>
    </xf>
    <xf numFmtId="10" fontId="44" fillId="0" borderId="0" xfId="1" applyNumberFormat="1" applyFont="1" applyAlignment="1" applyProtection="1">
      <alignment horizontal="right"/>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center"/>
      <protection locked="0"/>
    </xf>
    <xf numFmtId="0" fontId="51" fillId="0" borderId="0" xfId="0" applyFont="1" applyProtection="1">
      <protection locked="0"/>
    </xf>
    <xf numFmtId="0" fontId="49" fillId="0" borderId="0" xfId="0" applyFont="1" applyProtection="1">
      <protection locked="0"/>
    </xf>
    <xf numFmtId="0" fontId="48" fillId="0" borderId="0" xfId="0" applyFont="1" applyProtection="1">
      <protection locked="0"/>
    </xf>
    <xf numFmtId="2" fontId="50" fillId="0" borderId="0" xfId="0" applyNumberFormat="1" applyFont="1" applyProtection="1">
      <protection locked="0"/>
    </xf>
    <xf numFmtId="40" fontId="50" fillId="0" borderId="0" xfId="0" applyNumberFormat="1" applyFont="1" applyProtection="1">
      <protection locked="0"/>
    </xf>
    <xf numFmtId="165" fontId="50" fillId="0" borderId="0" xfId="7" applyFont="1" applyProtection="1">
      <protection locked="0"/>
    </xf>
    <xf numFmtId="4" fontId="50" fillId="0" borderId="0" xfId="0" applyNumberFormat="1" applyFont="1" applyProtection="1">
      <protection locked="0"/>
    </xf>
    <xf numFmtId="169" fontId="50" fillId="0" borderId="0" xfId="0" applyNumberFormat="1" applyFont="1" applyProtection="1">
      <protection locked="0"/>
    </xf>
    <xf numFmtId="38" fontId="50" fillId="0" borderId="0" xfId="0" applyNumberFormat="1" applyFont="1" applyProtection="1">
      <protection locked="0"/>
    </xf>
    <xf numFmtId="4" fontId="50" fillId="0" borderId="0" xfId="0" applyNumberFormat="1" applyFont="1" applyAlignment="1" applyProtection="1">
      <alignment horizontal="right" vertical="center" indent="1"/>
      <protection locked="0"/>
    </xf>
    <xf numFmtId="165" fontId="50" fillId="0" borderId="0" xfId="0" applyNumberFormat="1" applyFont="1" applyProtection="1">
      <protection locked="0"/>
    </xf>
    <xf numFmtId="0" fontId="52" fillId="0" borderId="0" xfId="0" applyFont="1" applyProtection="1">
      <protection locked="0"/>
    </xf>
    <xf numFmtId="3" fontId="50" fillId="0" borderId="0" xfId="0" applyNumberFormat="1" applyFont="1" applyProtection="1">
      <protection locked="0"/>
    </xf>
    <xf numFmtId="4" fontId="53" fillId="0" borderId="0" xfId="0" applyNumberFormat="1" applyFont="1" applyAlignment="1">
      <alignment horizontal="right" indent="1"/>
    </xf>
    <xf numFmtId="171" fontId="50" fillId="0" borderId="0" xfId="0" applyNumberFormat="1" applyFont="1" applyProtection="1">
      <protection locked="0"/>
    </xf>
    <xf numFmtId="0" fontId="49" fillId="0" borderId="4" xfId="0" applyFont="1" applyBorder="1" applyAlignment="1" applyProtection="1">
      <alignment vertical="center"/>
      <protection locked="0"/>
    </xf>
    <xf numFmtId="4" fontId="50" fillId="0" borderId="0" xfId="0" applyNumberFormat="1" applyFont="1" applyAlignment="1" applyProtection="1">
      <alignment horizontal="center" vertical="center"/>
      <protection locked="0"/>
    </xf>
    <xf numFmtId="165" fontId="50" fillId="0" borderId="0" xfId="7" applyFont="1" applyAlignment="1" applyProtection="1">
      <alignment horizontal="center"/>
      <protection locked="0"/>
    </xf>
    <xf numFmtId="167" fontId="50" fillId="0" borderId="0" xfId="0" applyNumberFormat="1" applyFont="1" applyProtection="1">
      <protection locked="0"/>
    </xf>
    <xf numFmtId="1" fontId="50" fillId="0" borderId="0" xfId="0" applyNumberFormat="1" applyFont="1" applyProtection="1">
      <protection locked="0"/>
    </xf>
    <xf numFmtId="172" fontId="50" fillId="0" borderId="0" xfId="0" applyNumberFormat="1" applyFont="1" applyAlignment="1" applyProtection="1">
      <alignment horizontal="right" indent="1"/>
      <protection locked="0"/>
    </xf>
    <xf numFmtId="0" fontId="50" fillId="0" borderId="8" xfId="0" applyFont="1" applyBorder="1" applyAlignment="1" applyProtection="1">
      <alignment horizontal="center"/>
      <protection locked="0"/>
    </xf>
    <xf numFmtId="172" fontId="50" fillId="0" borderId="0" xfId="0" applyNumberFormat="1" applyFont="1" applyProtection="1">
      <protection locked="0"/>
    </xf>
    <xf numFmtId="0" fontId="50" fillId="0" borderId="0" xfId="0" applyFont="1"/>
    <xf numFmtId="0" fontId="49" fillId="0" borderId="0" xfId="0" applyFont="1" applyAlignment="1" applyProtection="1">
      <alignment vertical="center"/>
      <protection locked="0"/>
    </xf>
    <xf numFmtId="169" fontId="50" fillId="0" borderId="0" xfId="0" applyNumberFormat="1" applyFont="1" applyAlignment="1" applyProtection="1">
      <alignment horizontal="center"/>
      <protection locked="0"/>
    </xf>
    <xf numFmtId="166" fontId="50" fillId="0" borderId="0" xfId="0" applyNumberFormat="1" applyFont="1" applyAlignment="1" applyProtection="1">
      <alignment horizontal="center" vertical="center"/>
      <protection locked="0"/>
    </xf>
    <xf numFmtId="40" fontId="54" fillId="0" borderId="42" xfId="0" applyNumberFormat="1" applyFont="1" applyBorder="1" applyAlignment="1">
      <alignment horizontal="center"/>
    </xf>
    <xf numFmtId="0" fontId="54" fillId="0" borderId="38" xfId="0" applyFont="1" applyBorder="1" applyAlignment="1">
      <alignment horizontal="center"/>
    </xf>
    <xf numFmtId="0" fontId="54" fillId="0" borderId="7" xfId="0" applyFont="1" applyBorder="1" applyAlignment="1">
      <alignment horizontal="center"/>
    </xf>
    <xf numFmtId="0" fontId="54" fillId="0" borderId="8" xfId="0" applyFont="1" applyBorder="1" applyAlignment="1">
      <alignment horizontal="center"/>
    </xf>
    <xf numFmtId="40" fontId="54" fillId="0" borderId="10" xfId="0" applyNumberFormat="1" applyFont="1" applyBorder="1" applyAlignment="1">
      <alignment horizontal="center"/>
    </xf>
    <xf numFmtId="0" fontId="54" fillId="0" borderId="5" xfId="0" applyFont="1" applyBorder="1" applyAlignment="1">
      <alignment horizontal="center"/>
    </xf>
    <xf numFmtId="0" fontId="54" fillId="0" borderId="9" xfId="0" applyFont="1" applyBorder="1" applyAlignment="1">
      <alignment horizontal="center"/>
    </xf>
    <xf numFmtId="40" fontId="54" fillId="0" borderId="6" xfId="0" applyNumberFormat="1" applyFont="1" applyBorder="1" applyAlignment="1">
      <alignment horizontal="center"/>
    </xf>
    <xf numFmtId="40" fontId="54" fillId="0" borderId="38" xfId="0" applyNumberFormat="1" applyFont="1" applyBorder="1" applyAlignment="1">
      <alignment horizontal="center"/>
    </xf>
    <xf numFmtId="40" fontId="54" fillId="0" borderId="8" xfId="0" applyNumberFormat="1" applyFont="1" applyBorder="1" applyAlignment="1">
      <alignment horizontal="center"/>
    </xf>
    <xf numFmtId="40" fontId="54" fillId="0" borderId="9" xfId="0" applyNumberFormat="1" applyFont="1" applyBorder="1" applyAlignment="1">
      <alignment horizontal="center"/>
    </xf>
    <xf numFmtId="0" fontId="54" fillId="0" borderId="43" xfId="0" applyFont="1" applyBorder="1" applyAlignment="1">
      <alignment horizontal="center"/>
    </xf>
    <xf numFmtId="40" fontId="54" fillId="0" borderId="43" xfId="0" applyNumberFormat="1" applyFont="1" applyBorder="1" applyAlignment="1">
      <alignment horizontal="center"/>
    </xf>
    <xf numFmtId="0" fontId="54" fillId="0" borderId="0" xfId="0" applyFont="1" applyAlignment="1">
      <alignment horizontal="center"/>
    </xf>
    <xf numFmtId="40" fontId="54" fillId="0" borderId="0" xfId="0" applyNumberFormat="1" applyFont="1" applyAlignment="1">
      <alignment horizontal="center"/>
    </xf>
    <xf numFmtId="0" fontId="54" fillId="0" borderId="4" xfId="0" applyFont="1" applyBorder="1" applyAlignment="1">
      <alignment horizontal="center"/>
    </xf>
    <xf numFmtId="40" fontId="54" fillId="0" borderId="4" xfId="0" applyNumberFormat="1" applyFont="1" applyBorder="1" applyAlignment="1">
      <alignment horizontal="center"/>
    </xf>
    <xf numFmtId="9" fontId="54" fillId="0" borderId="10" xfId="1" applyFont="1" applyBorder="1" applyAlignment="1" applyProtection="1">
      <alignment horizontal="center"/>
    </xf>
    <xf numFmtId="9" fontId="54" fillId="0" borderId="6" xfId="1" applyFont="1" applyBorder="1" applyAlignment="1" applyProtection="1">
      <alignment horizontal="center"/>
    </xf>
    <xf numFmtId="10" fontId="54" fillId="0" borderId="10" xfId="1" applyNumberFormat="1" applyFont="1" applyBorder="1" applyAlignment="1" applyProtection="1">
      <alignment horizontal="center"/>
    </xf>
    <xf numFmtId="10" fontId="54" fillId="0" borderId="6" xfId="1" applyNumberFormat="1" applyFont="1" applyBorder="1" applyAlignment="1" applyProtection="1">
      <alignment horizontal="center"/>
    </xf>
    <xf numFmtId="10" fontId="54" fillId="0" borderId="42" xfId="1" applyNumberFormat="1" applyFont="1" applyBorder="1" applyAlignment="1" applyProtection="1">
      <alignment horizontal="center"/>
    </xf>
    <xf numFmtId="10" fontId="54" fillId="0" borderId="38" xfId="1" applyNumberFormat="1" applyFont="1" applyBorder="1" applyAlignment="1" applyProtection="1">
      <alignment horizontal="center"/>
    </xf>
    <xf numFmtId="10" fontId="54" fillId="0" borderId="8" xfId="1" applyNumberFormat="1" applyFont="1" applyBorder="1" applyAlignment="1" applyProtection="1">
      <alignment horizontal="center"/>
    </xf>
    <xf numFmtId="10" fontId="54" fillId="0" borderId="9" xfId="1" applyNumberFormat="1" applyFont="1" applyBorder="1" applyAlignment="1" applyProtection="1">
      <alignment horizontal="center"/>
    </xf>
    <xf numFmtId="4" fontId="54" fillId="0" borderId="0" xfId="0" applyNumberFormat="1" applyFont="1" applyProtection="1">
      <protection locked="0"/>
    </xf>
    <xf numFmtId="0" fontId="54" fillId="0" borderId="0" xfId="0" applyFont="1" applyProtection="1">
      <protection locked="0"/>
    </xf>
    <xf numFmtId="2" fontId="54" fillId="0" borderId="42" xfId="0" applyNumberFormat="1" applyFont="1" applyBorder="1" applyAlignment="1">
      <alignment horizontal="center"/>
    </xf>
    <xf numFmtId="40" fontId="54" fillId="0" borderId="8" xfId="0" applyNumberFormat="1" applyFont="1" applyBorder="1" applyAlignment="1">
      <alignment horizontal="right" vertical="center"/>
    </xf>
    <xf numFmtId="40" fontId="54" fillId="0" borderId="42" xfId="0" applyNumberFormat="1" applyFont="1" applyBorder="1" applyAlignment="1">
      <alignment horizontal="right" vertical="center"/>
    </xf>
    <xf numFmtId="40" fontId="54" fillId="0" borderId="10" xfId="0" applyNumberFormat="1" applyFont="1" applyBorder="1" applyAlignment="1">
      <alignment horizontal="right" vertical="center"/>
    </xf>
    <xf numFmtId="40" fontId="54" fillId="0" borderId="9" xfId="0" applyNumberFormat="1" applyFont="1" applyBorder="1" applyAlignment="1">
      <alignment horizontal="right" vertical="center"/>
    </xf>
    <xf numFmtId="40" fontId="54" fillId="0" borderId="6" xfId="0" applyNumberFormat="1" applyFont="1" applyBorder="1" applyAlignment="1">
      <alignment horizontal="right" vertical="center"/>
    </xf>
    <xf numFmtId="40" fontId="54" fillId="0" borderId="38" xfId="0" applyNumberFormat="1" applyFont="1" applyBorder="1" applyAlignment="1">
      <alignment horizontal="right" vertical="center"/>
    </xf>
    <xf numFmtId="40" fontId="54" fillId="0" borderId="43" xfId="0" applyNumberFormat="1" applyFont="1" applyBorder="1" applyAlignment="1">
      <alignment horizontal="right" vertical="center"/>
    </xf>
    <xf numFmtId="40" fontId="54" fillId="0" borderId="0" xfId="0" applyNumberFormat="1" applyFont="1" applyAlignment="1">
      <alignment horizontal="right" vertical="center"/>
    </xf>
    <xf numFmtId="40" fontId="54" fillId="0" borderId="4" xfId="0" applyNumberFormat="1" applyFont="1" applyBorder="1" applyAlignment="1">
      <alignment horizontal="right" vertical="center"/>
    </xf>
    <xf numFmtId="40" fontId="54" fillId="0" borderId="10" xfId="0" applyNumberFormat="1" applyFont="1" applyBorder="1"/>
    <xf numFmtId="40" fontId="54" fillId="0" borderId="7" xfId="0" applyNumberFormat="1" applyFont="1" applyBorder="1" applyAlignment="1">
      <alignment horizontal="right" vertical="center"/>
    </xf>
    <xf numFmtId="40" fontId="54" fillId="0" borderId="37" xfId="0" applyNumberFormat="1" applyFont="1" applyBorder="1" applyAlignment="1">
      <alignment horizontal="right" vertical="center"/>
    </xf>
    <xf numFmtId="0" fontId="54" fillId="0" borderId="37" xfId="0" applyFont="1" applyBorder="1" applyAlignment="1">
      <alignment horizontal="center"/>
    </xf>
    <xf numFmtId="4" fontId="54" fillId="0" borderId="42" xfId="0" applyNumberFormat="1" applyFont="1" applyBorder="1" applyAlignment="1">
      <alignment horizontal="right" vertical="center" indent="1"/>
    </xf>
    <xf numFmtId="4" fontId="54" fillId="0" borderId="37" xfId="0" applyNumberFormat="1" applyFont="1" applyBorder="1" applyAlignment="1">
      <alignment horizontal="right" vertical="center" indent="1"/>
    </xf>
    <xf numFmtId="2" fontId="54" fillId="0" borderId="38" xfId="0" applyNumberFormat="1" applyFont="1" applyBorder="1"/>
    <xf numFmtId="4" fontId="54" fillId="0" borderId="10" xfId="0" applyNumberFormat="1" applyFont="1" applyBorder="1" applyAlignment="1">
      <alignment horizontal="right" vertical="center" indent="1"/>
    </xf>
    <xf numFmtId="4" fontId="54" fillId="0" borderId="7" xfId="0" applyNumberFormat="1" applyFont="1" applyBorder="1" applyAlignment="1">
      <alignment horizontal="right" vertical="center" indent="1"/>
    </xf>
    <xf numFmtId="2" fontId="54" fillId="0" borderId="8" xfId="0" applyNumberFormat="1" applyFont="1" applyBorder="1"/>
    <xf numFmtId="4" fontId="54" fillId="0" borderId="6" xfId="0" applyNumberFormat="1" applyFont="1" applyBorder="1" applyAlignment="1">
      <alignment horizontal="right" vertical="center" indent="1"/>
    </xf>
    <xf numFmtId="4" fontId="54" fillId="0" borderId="5" xfId="0" applyNumberFormat="1" applyFont="1" applyBorder="1" applyAlignment="1">
      <alignment horizontal="right" vertical="center" indent="1"/>
    </xf>
    <xf numFmtId="2" fontId="54" fillId="0" borderId="9" xfId="0" applyNumberFormat="1" applyFont="1" applyBorder="1"/>
    <xf numFmtId="4" fontId="54" fillId="0" borderId="8" xfId="0" applyNumberFormat="1" applyFont="1" applyBorder="1" applyAlignment="1">
      <alignment horizontal="right" vertical="center" indent="1"/>
    </xf>
    <xf numFmtId="4" fontId="54" fillId="0" borderId="0" xfId="0" applyNumberFormat="1" applyFont="1" applyAlignment="1">
      <alignment horizontal="right" vertical="center" indent="1"/>
    </xf>
    <xf numFmtId="4" fontId="54" fillId="0" borderId="9" xfId="0" applyNumberFormat="1" applyFont="1" applyBorder="1" applyAlignment="1">
      <alignment horizontal="right" vertical="center" indent="1"/>
    </xf>
    <xf numFmtId="4" fontId="54" fillId="0" borderId="4" xfId="0" applyNumberFormat="1" applyFont="1" applyBorder="1" applyAlignment="1">
      <alignment horizontal="right" vertical="center" indent="1"/>
    </xf>
    <xf numFmtId="4" fontId="56" fillId="0" borderId="0" xfId="0" applyNumberFormat="1" applyFont="1" applyAlignment="1">
      <alignment horizontal="right" vertical="center" indent="1"/>
    </xf>
    <xf numFmtId="4" fontId="56" fillId="0" borderId="10" xfId="0" applyNumberFormat="1" applyFont="1" applyBorder="1" applyAlignment="1">
      <alignment horizontal="right" vertical="center" indent="1"/>
    </xf>
    <xf numFmtId="2" fontId="56" fillId="0" borderId="8" xfId="0" applyNumberFormat="1" applyFont="1" applyBorder="1"/>
    <xf numFmtId="2" fontId="54" fillId="0" borderId="42" xfId="0" applyNumberFormat="1" applyFont="1" applyBorder="1"/>
    <xf numFmtId="2" fontId="54" fillId="0" borderId="10" xfId="0" applyNumberFormat="1" applyFont="1" applyBorder="1"/>
    <xf numFmtId="2" fontId="54" fillId="0" borderId="6" xfId="0" applyNumberFormat="1" applyFont="1" applyBorder="1"/>
    <xf numFmtId="4" fontId="54" fillId="0" borderId="42" xfId="0" applyNumberFormat="1" applyFont="1" applyBorder="1" applyAlignment="1">
      <alignment horizontal="center" vertical="center"/>
    </xf>
    <xf numFmtId="4" fontId="54" fillId="0" borderId="10" xfId="0" applyNumberFormat="1" applyFont="1" applyBorder="1" applyAlignment="1">
      <alignment horizontal="center" vertical="center"/>
    </xf>
    <xf numFmtId="4" fontId="54" fillId="0" borderId="6" xfId="0" applyNumberFormat="1" applyFont="1" applyBorder="1" applyAlignment="1">
      <alignment horizontal="center" vertical="center"/>
    </xf>
    <xf numFmtId="2" fontId="54" fillId="0" borderId="9" xfId="0" applyNumberFormat="1" applyFont="1" applyBorder="1" applyAlignment="1">
      <alignment horizontal="center"/>
    </xf>
    <xf numFmtId="4" fontId="56" fillId="0" borderId="8" xfId="0" applyNumberFormat="1" applyFont="1" applyBorder="1" applyAlignment="1">
      <alignment horizontal="right" vertical="center" indent="1"/>
    </xf>
    <xf numFmtId="4" fontId="56" fillId="0" borderId="10" xfId="0" applyNumberFormat="1" applyFont="1" applyBorder="1" applyAlignment="1">
      <alignment horizontal="center" vertical="center"/>
    </xf>
    <xf numFmtId="4" fontId="54" fillId="0" borderId="43" xfId="0" applyNumberFormat="1" applyFont="1" applyBorder="1" applyAlignment="1">
      <alignment horizontal="right" vertical="center" indent="1"/>
    </xf>
    <xf numFmtId="2" fontId="54" fillId="0" borderId="38" xfId="0" applyNumberFormat="1" applyFont="1" applyBorder="1" applyAlignment="1">
      <alignment horizontal="center"/>
    </xf>
    <xf numFmtId="2" fontId="54" fillId="0" borderId="8" xfId="0" applyNumberFormat="1" applyFont="1" applyBorder="1" applyAlignment="1">
      <alignment horizontal="center"/>
    </xf>
    <xf numFmtId="2" fontId="54" fillId="0" borderId="10" xfId="0" applyNumberFormat="1" applyFont="1" applyBorder="1" applyAlignment="1">
      <alignment horizontal="center"/>
    </xf>
    <xf numFmtId="2" fontId="54" fillId="0" borderId="6" xfId="0" applyNumberFormat="1" applyFont="1" applyBorder="1" applyAlignment="1">
      <alignment horizontal="center"/>
    </xf>
    <xf numFmtId="4" fontId="54" fillId="0" borderId="10" xfId="0" applyNumberFormat="1" applyFont="1" applyBorder="1" applyAlignment="1">
      <alignment horizontal="right" indent="1"/>
    </xf>
    <xf numFmtId="4" fontId="54" fillId="0" borderId="0" xfId="0" applyNumberFormat="1" applyFont="1" applyAlignment="1">
      <alignment horizontal="right" indent="1"/>
    </xf>
    <xf numFmtId="4" fontId="54" fillId="0" borderId="6" xfId="0" applyNumberFormat="1" applyFont="1" applyBorder="1" applyAlignment="1">
      <alignment horizontal="right" indent="1"/>
    </xf>
    <xf numFmtId="4" fontId="54" fillId="0" borderId="4" xfId="0" applyNumberFormat="1" applyFont="1" applyBorder="1" applyAlignment="1">
      <alignment horizontal="right" indent="1"/>
    </xf>
    <xf numFmtId="4" fontId="54" fillId="0" borderId="42" xfId="0" applyNumberFormat="1" applyFont="1" applyBorder="1" applyAlignment="1">
      <alignment horizontal="right" indent="1"/>
    </xf>
    <xf numFmtId="4" fontId="54" fillId="0" borderId="43" xfId="0" applyNumberFormat="1" applyFont="1" applyBorder="1" applyAlignment="1">
      <alignment horizontal="right" indent="1"/>
    </xf>
    <xf numFmtId="4" fontId="54" fillId="0" borderId="38" xfId="0" applyNumberFormat="1" applyFont="1" applyBorder="1" applyAlignment="1">
      <alignment horizontal="right" vertical="center" indent="1"/>
    </xf>
    <xf numFmtId="4" fontId="54" fillId="0" borderId="8" xfId="0" applyNumberFormat="1" applyFont="1" applyBorder="1" applyAlignment="1">
      <alignment horizontal="right" indent="1"/>
    </xf>
    <xf numFmtId="4" fontId="54" fillId="0" borderId="38" xfId="0" applyNumberFormat="1" applyFont="1" applyBorder="1" applyAlignment="1">
      <alignment horizontal="right" indent="1"/>
    </xf>
    <xf numFmtId="4" fontId="56" fillId="0" borderId="42" xfId="0" applyNumberFormat="1" applyFont="1" applyBorder="1" applyAlignment="1">
      <alignment horizontal="right" indent="1"/>
    </xf>
    <xf numFmtId="0" fontId="55" fillId="0" borderId="0" xfId="0" applyFont="1" applyProtection="1">
      <protection locked="0"/>
    </xf>
    <xf numFmtId="4" fontId="56" fillId="0" borderId="43" xfId="0" applyNumberFormat="1" applyFont="1" applyBorder="1" applyAlignment="1">
      <alignment horizontal="right"/>
    </xf>
    <xf numFmtId="4" fontId="56" fillId="0" borderId="42" xfId="0" applyNumberFormat="1" applyFont="1" applyBorder="1" applyAlignment="1">
      <alignment horizontal="right" vertical="center"/>
    </xf>
    <xf numFmtId="4" fontId="56" fillId="0" borderId="43" xfId="0" applyNumberFormat="1" applyFont="1" applyBorder="1" applyAlignment="1">
      <alignment horizontal="right" vertical="center"/>
    </xf>
    <xf numFmtId="4" fontId="56" fillId="0" borderId="38" xfId="0" applyNumberFormat="1" applyFont="1" applyBorder="1" applyAlignment="1">
      <alignment horizontal="right" vertical="center"/>
    </xf>
    <xf numFmtId="4" fontId="57" fillId="0" borderId="10" xfId="0" applyNumberFormat="1" applyFont="1" applyBorder="1" applyAlignment="1">
      <alignment horizontal="right"/>
    </xf>
    <xf numFmtId="4" fontId="56" fillId="0" borderId="0" xfId="0" applyNumberFormat="1" applyFont="1" applyAlignment="1">
      <alignment horizontal="right"/>
    </xf>
    <xf numFmtId="4" fontId="56" fillId="0" borderId="10" xfId="0" applyNumberFormat="1" applyFont="1" applyBorder="1" applyAlignment="1">
      <alignment horizontal="right" vertical="center"/>
    </xf>
    <xf numFmtId="4" fontId="57" fillId="0" borderId="0" xfId="0" applyNumberFormat="1" applyFont="1" applyAlignment="1">
      <alignment horizontal="right" vertical="center"/>
    </xf>
    <xf numFmtId="4" fontId="56" fillId="0" borderId="0" xfId="0" applyNumberFormat="1" applyFont="1" applyAlignment="1">
      <alignment horizontal="right" vertical="center"/>
    </xf>
    <xf numFmtId="4" fontId="56" fillId="0" borderId="8" xfId="0" applyNumberFormat="1" applyFont="1" applyBorder="1" applyAlignment="1">
      <alignment horizontal="right" vertical="center"/>
    </xf>
    <xf numFmtId="4" fontId="57" fillId="0" borderId="6" xfId="0" applyNumberFormat="1" applyFont="1" applyBorder="1" applyAlignment="1">
      <alignment horizontal="right"/>
    </xf>
    <xf numFmtId="4" fontId="56" fillId="0" borderId="4" xfId="0" applyNumberFormat="1" applyFont="1" applyBorder="1" applyAlignment="1">
      <alignment horizontal="right"/>
    </xf>
    <xf numFmtId="4" fontId="56" fillId="0" borderId="6" xfId="0" applyNumberFormat="1" applyFont="1" applyBorder="1" applyAlignment="1">
      <alignment horizontal="right" vertical="center"/>
    </xf>
    <xf numFmtId="4" fontId="57" fillId="0" borderId="6" xfId="0" applyNumberFormat="1" applyFont="1" applyBorder="1" applyAlignment="1">
      <alignment horizontal="right" vertical="center"/>
    </xf>
    <xf numFmtId="4" fontId="56" fillId="0" borderId="4" xfId="0" applyNumberFormat="1" applyFont="1" applyBorder="1" applyAlignment="1">
      <alignment horizontal="right" vertical="center"/>
    </xf>
    <xf numFmtId="4" fontId="56" fillId="0" borderId="9" xfId="0" applyNumberFormat="1" applyFont="1" applyBorder="1" applyAlignment="1">
      <alignment horizontal="right" vertical="center"/>
    </xf>
    <xf numFmtId="4" fontId="57" fillId="0" borderId="0" xfId="0" applyNumberFormat="1" applyFont="1" applyAlignment="1">
      <alignment horizontal="right"/>
    </xf>
    <xf numFmtId="4" fontId="57" fillId="0" borderId="10" xfId="0" applyNumberFormat="1" applyFont="1" applyBorder="1" applyAlignment="1">
      <alignment horizontal="right" vertical="center"/>
    </xf>
    <xf numFmtId="4" fontId="57" fillId="0" borderId="8" xfId="0" applyNumberFormat="1" applyFont="1" applyBorder="1" applyAlignment="1">
      <alignment horizontal="right" vertical="center"/>
    </xf>
    <xf numFmtId="4" fontId="57" fillId="0" borderId="43" xfId="0" applyNumberFormat="1" applyFont="1" applyBorder="1" applyAlignment="1">
      <alignment horizontal="right"/>
    </xf>
    <xf numFmtId="4" fontId="57" fillId="0" borderId="42" xfId="0" applyNumberFormat="1" applyFont="1" applyBorder="1" applyAlignment="1">
      <alignment horizontal="right" vertical="center"/>
    </xf>
    <xf numFmtId="4" fontId="57" fillId="0" borderId="43" xfId="0" applyNumberFormat="1" applyFont="1" applyBorder="1" applyAlignment="1">
      <alignment horizontal="right" vertical="center"/>
    </xf>
    <xf numFmtId="4" fontId="57" fillId="0" borderId="38" xfId="0" applyNumberFormat="1" applyFont="1" applyBorder="1" applyAlignment="1">
      <alignment horizontal="right" vertical="center"/>
    </xf>
    <xf numFmtId="4" fontId="57" fillId="0" borderId="4" xfId="0" applyNumberFormat="1" applyFont="1" applyBorder="1" applyAlignment="1">
      <alignment horizontal="right"/>
    </xf>
    <xf numFmtId="4" fontId="56" fillId="0" borderId="10" xfId="0" applyNumberFormat="1" applyFont="1" applyBorder="1" applyAlignment="1">
      <alignment horizontal="right"/>
    </xf>
    <xf numFmtId="4" fontId="56" fillId="0" borderId="6" xfId="0" applyNumberFormat="1" applyFont="1" applyBorder="1" applyAlignment="1">
      <alignment horizontal="right"/>
    </xf>
    <xf numFmtId="4" fontId="57" fillId="0" borderId="42" xfId="0" applyNumberFormat="1" applyFont="1" applyBorder="1" applyAlignment="1">
      <alignment horizontal="right"/>
    </xf>
    <xf numFmtId="4" fontId="57" fillId="0" borderId="8" xfId="0" applyNumberFormat="1" applyFont="1" applyBorder="1" applyAlignment="1">
      <alignment horizontal="right"/>
    </xf>
    <xf numFmtId="4" fontId="56" fillId="0" borderId="9" xfId="0" applyNumberFormat="1" applyFont="1" applyBorder="1" applyAlignment="1">
      <alignment horizontal="right"/>
    </xf>
    <xf numFmtId="4" fontId="56" fillId="0" borderId="42" xfId="0" applyNumberFormat="1" applyFont="1" applyBorder="1" applyAlignment="1">
      <alignment horizontal="right"/>
    </xf>
    <xf numFmtId="4" fontId="57" fillId="0" borderId="7" xfId="0" applyNumberFormat="1" applyFont="1" applyBorder="1" applyAlignment="1">
      <alignment horizontal="right"/>
    </xf>
    <xf numFmtId="4" fontId="57" fillId="0" borderId="0" xfId="0" applyNumberFormat="1" applyFont="1" applyAlignment="1">
      <alignment horizontal="right" vertical="center" indent="1"/>
    </xf>
    <xf numFmtId="4" fontId="57" fillId="0" borderId="0" xfId="0" applyNumberFormat="1" applyFont="1" applyAlignment="1">
      <alignment horizontal="right" indent="1"/>
    </xf>
    <xf numFmtId="4" fontId="57" fillId="0" borderId="10" xfId="0" applyNumberFormat="1" applyFont="1" applyBorder="1" applyAlignment="1">
      <alignment horizontal="right" vertical="center" indent="1"/>
    </xf>
    <xf numFmtId="4" fontId="57" fillId="0" borderId="4" xfId="0" applyNumberFormat="1" applyFont="1" applyBorder="1" applyAlignment="1">
      <alignment horizontal="right" indent="1"/>
    </xf>
    <xf numFmtId="4" fontId="57" fillId="0" borderId="6" xfId="0" applyNumberFormat="1" applyFont="1" applyBorder="1" applyAlignment="1">
      <alignment horizontal="right" vertical="center" indent="1"/>
    </xf>
    <xf numFmtId="4" fontId="57" fillId="0" borderId="4" xfId="0" applyNumberFormat="1" applyFont="1" applyBorder="1" applyAlignment="1">
      <alignment horizontal="right" vertical="center" indent="1"/>
    </xf>
    <xf numFmtId="4" fontId="57" fillId="0" borderId="10" xfId="0" applyNumberFormat="1" applyFont="1" applyBorder="1" applyAlignment="1">
      <alignment horizontal="right" indent="1"/>
    </xf>
    <xf numFmtId="4" fontId="57" fillId="0" borderId="8" xfId="0" applyNumberFormat="1" applyFont="1" applyBorder="1" applyAlignment="1">
      <alignment horizontal="right" vertical="center" indent="1"/>
    </xf>
    <xf numFmtId="4" fontId="57" fillId="0" borderId="6" xfId="0" applyNumberFormat="1" applyFont="1" applyBorder="1" applyAlignment="1">
      <alignment horizontal="right" indent="1"/>
    </xf>
    <xf numFmtId="4" fontId="57" fillId="0" borderId="9" xfId="0" applyNumberFormat="1" applyFont="1" applyBorder="1" applyAlignment="1">
      <alignment horizontal="right" vertical="center" indent="1"/>
    </xf>
    <xf numFmtId="4" fontId="57" fillId="0" borderId="7" xfId="0" applyNumberFormat="1" applyFont="1" applyBorder="1" applyAlignment="1">
      <alignment horizontal="right" vertical="center" indent="1"/>
    </xf>
    <xf numFmtId="4" fontId="57" fillId="0" borderId="7" xfId="0" applyNumberFormat="1" applyFont="1" applyBorder="1" applyAlignment="1">
      <alignment horizontal="right" indent="1"/>
    </xf>
    <xf numFmtId="4" fontId="57" fillId="0" borderId="8" xfId="0" applyNumberFormat="1" applyFont="1" applyBorder="1" applyAlignment="1">
      <alignment horizontal="right" indent="1"/>
    </xf>
    <xf numFmtId="4" fontId="57" fillId="0" borderId="5" xfId="0" applyNumberFormat="1" applyFont="1" applyBorder="1" applyAlignment="1">
      <alignment horizontal="right" indent="1"/>
    </xf>
    <xf numFmtId="4" fontId="57" fillId="0" borderId="9" xfId="0" applyNumberFormat="1" applyFont="1" applyBorder="1" applyAlignment="1">
      <alignment horizontal="right" indent="1"/>
    </xf>
    <xf numFmtId="4" fontId="59" fillId="0" borderId="10" xfId="0" applyNumberFormat="1" applyFont="1" applyBorder="1" applyAlignment="1">
      <alignment horizontal="right" indent="1"/>
    </xf>
    <xf numFmtId="4" fontId="59" fillId="0" borderId="0" xfId="0" applyNumberFormat="1" applyFont="1" applyAlignment="1">
      <alignment horizontal="right" indent="1"/>
    </xf>
    <xf numFmtId="4" fontId="59" fillId="0" borderId="10" xfId="0" applyNumberFormat="1" applyFont="1" applyBorder="1" applyAlignment="1">
      <alignment horizontal="right" vertical="center" indent="1"/>
    </xf>
    <xf numFmtId="4" fontId="59" fillId="0" borderId="8" xfId="0" applyNumberFormat="1" applyFont="1" applyBorder="1" applyAlignment="1">
      <alignment horizontal="right" indent="1"/>
    </xf>
    <xf numFmtId="4" fontId="57" fillId="0" borderId="42" xfId="0" applyNumberFormat="1" applyFont="1" applyBorder="1" applyAlignment="1">
      <alignment horizontal="right" indent="1"/>
    </xf>
    <xf numFmtId="4" fontId="57" fillId="0" borderId="43" xfId="0" applyNumberFormat="1" applyFont="1" applyBorder="1" applyAlignment="1">
      <alignment horizontal="right" indent="1"/>
    </xf>
    <xf numFmtId="4" fontId="57" fillId="0" borderId="42" xfId="0" applyNumberFormat="1" applyFont="1" applyBorder="1" applyAlignment="1">
      <alignment horizontal="right" vertical="center" indent="1"/>
    </xf>
    <xf numFmtId="4" fontId="57" fillId="0" borderId="38" xfId="0" applyNumberFormat="1" applyFont="1" applyBorder="1" applyAlignment="1">
      <alignment horizontal="right" indent="1"/>
    </xf>
    <xf numFmtId="4" fontId="56" fillId="0" borderId="0" xfId="0" applyNumberFormat="1" applyFont="1" applyAlignment="1">
      <alignment horizontal="right" indent="1"/>
    </xf>
    <xf numFmtId="4" fontId="56" fillId="0" borderId="10" xfId="0" applyNumberFormat="1" applyFont="1" applyBorder="1" applyAlignment="1">
      <alignment horizontal="right" indent="1"/>
    </xf>
    <xf numFmtId="171" fontId="57" fillId="0" borderId="38" xfId="0" applyNumberFormat="1" applyFont="1" applyBorder="1" applyAlignment="1">
      <alignment horizontal="right" vertical="center"/>
    </xf>
    <xf numFmtId="171" fontId="57" fillId="0" borderId="43" xfId="0" applyNumberFormat="1" applyFont="1" applyBorder="1" applyAlignment="1">
      <alignment horizontal="right" vertical="center"/>
    </xf>
    <xf numFmtId="171" fontId="57" fillId="0" borderId="42" xfId="0" applyNumberFormat="1" applyFont="1" applyBorder="1" applyAlignment="1">
      <alignment horizontal="right" vertical="center"/>
    </xf>
    <xf numFmtId="171" fontId="54" fillId="0" borderId="0" xfId="0" applyNumberFormat="1" applyFont="1" applyProtection="1">
      <protection locked="0"/>
    </xf>
    <xf numFmtId="171" fontId="57" fillId="0" borderId="10" xfId="0" applyNumberFormat="1" applyFont="1" applyBorder="1" applyAlignment="1">
      <alignment horizontal="right"/>
    </xf>
    <xf numFmtId="171" fontId="57" fillId="0" borderId="0" xfId="0" applyNumberFormat="1" applyFont="1" applyAlignment="1">
      <alignment horizontal="right"/>
    </xf>
    <xf numFmtId="171" fontId="57" fillId="0" borderId="10" xfId="0" applyNumberFormat="1" applyFont="1" applyBorder="1" applyAlignment="1">
      <alignment horizontal="right" vertical="center"/>
    </xf>
    <xf numFmtId="171" fontId="57" fillId="0" borderId="8" xfId="0" applyNumberFormat="1" applyFont="1" applyBorder="1" applyAlignment="1">
      <alignment horizontal="right" vertical="center"/>
    </xf>
    <xf numFmtId="171" fontId="57" fillId="0" borderId="0" xfId="0" applyNumberFormat="1" applyFont="1" applyAlignment="1">
      <alignment horizontal="right" vertical="center"/>
    </xf>
    <xf numFmtId="171" fontId="57" fillId="0" borderId="6" xfId="0" applyNumberFormat="1" applyFont="1" applyBorder="1" applyAlignment="1">
      <alignment horizontal="right"/>
    </xf>
    <xf numFmtId="171" fontId="57" fillId="0" borderId="6" xfId="0" applyNumberFormat="1" applyFont="1" applyBorder="1" applyAlignment="1">
      <alignment horizontal="right" vertical="center"/>
    </xf>
    <xf numFmtId="171" fontId="57" fillId="0" borderId="9" xfId="0" applyNumberFormat="1" applyFont="1" applyBorder="1" applyAlignment="1">
      <alignment horizontal="right" vertical="center"/>
    </xf>
    <xf numFmtId="171" fontId="57" fillId="0" borderId="4" xfId="0" applyNumberFormat="1" applyFont="1" applyBorder="1" applyAlignment="1">
      <alignment horizontal="right" vertical="center"/>
    </xf>
    <xf numFmtId="171" fontId="54" fillId="0" borderId="6" xfId="0" applyNumberFormat="1" applyFont="1" applyBorder="1" applyAlignment="1">
      <alignment horizontal="right"/>
    </xf>
    <xf numFmtId="171" fontId="54" fillId="0" borderId="10" xfId="0" applyNumberFormat="1" applyFont="1" applyBorder="1" applyAlignment="1">
      <alignment horizontal="right"/>
    </xf>
    <xf numFmtId="171" fontId="57" fillId="0" borderId="42" xfId="0" applyNumberFormat="1" applyFont="1" applyBorder="1"/>
    <xf numFmtId="171" fontId="57" fillId="0" borderId="38" xfId="0" applyNumberFormat="1" applyFont="1" applyBorder="1"/>
    <xf numFmtId="171" fontId="57" fillId="0" borderId="10" xfId="0" applyNumberFormat="1" applyFont="1" applyBorder="1"/>
    <xf numFmtId="171" fontId="57" fillId="0" borderId="6" xfId="0" applyNumberFormat="1" applyFont="1" applyBorder="1"/>
    <xf numFmtId="171" fontId="57" fillId="0" borderId="38" xfId="0" applyNumberFormat="1" applyFont="1" applyBorder="1" applyAlignment="1">
      <alignment horizontal="right"/>
    </xf>
    <xf numFmtId="171" fontId="57" fillId="0" borderId="42" xfId="0" applyNumberFormat="1" applyFont="1" applyBorder="1" applyAlignment="1">
      <alignment horizontal="right"/>
    </xf>
    <xf numFmtId="171" fontId="57" fillId="0" borderId="8" xfId="0" applyNumberFormat="1" applyFont="1" applyBorder="1" applyAlignment="1">
      <alignment horizontal="right"/>
    </xf>
    <xf numFmtId="171" fontId="57" fillId="0" borderId="9" xfId="0" applyNumberFormat="1" applyFont="1" applyBorder="1" applyAlignment="1">
      <alignment horizontal="right"/>
    </xf>
    <xf numFmtId="171" fontId="54" fillId="0" borderId="42" xfId="0" applyNumberFormat="1" applyFont="1" applyBorder="1" applyAlignment="1">
      <alignment horizontal="right"/>
    </xf>
    <xf numFmtId="171" fontId="57" fillId="0" borderId="43" xfId="0" applyNumberFormat="1" applyFont="1" applyBorder="1" applyAlignment="1">
      <alignment horizontal="right"/>
    </xf>
    <xf numFmtId="171" fontId="54" fillId="0" borderId="0" xfId="0" applyNumberFormat="1" applyFont="1" applyAlignment="1">
      <alignment horizontal="right"/>
    </xf>
    <xf numFmtId="171" fontId="54" fillId="0" borderId="4" xfId="0" applyNumberFormat="1" applyFont="1" applyBorder="1" applyAlignment="1">
      <alignment horizontal="right"/>
    </xf>
    <xf numFmtId="171" fontId="57" fillId="0" borderId="9" xfId="0" applyNumberFormat="1" applyFont="1" applyBorder="1"/>
    <xf numFmtId="171" fontId="54" fillId="0" borderId="37" xfId="0" applyNumberFormat="1" applyFont="1" applyBorder="1" applyAlignment="1">
      <alignment horizontal="right"/>
    </xf>
    <xf numFmtId="4" fontId="57" fillId="0" borderId="43" xfId="0" applyNumberFormat="1" applyFont="1" applyBorder="1" applyAlignment="1">
      <alignment horizontal="center"/>
    </xf>
    <xf numFmtId="4" fontId="57" fillId="0" borderId="42" xfId="0" applyNumberFormat="1" applyFont="1" applyBorder="1" applyAlignment="1">
      <alignment horizontal="center"/>
    </xf>
    <xf numFmtId="4" fontId="57" fillId="0" borderId="43" xfId="0" applyNumberFormat="1" applyFont="1" applyBorder="1" applyAlignment="1">
      <alignment horizontal="center" vertical="center"/>
    </xf>
    <xf numFmtId="4" fontId="57" fillId="0" borderId="42" xfId="0" applyNumberFormat="1" applyFont="1" applyBorder="1" applyAlignment="1">
      <alignment horizontal="center" vertical="center"/>
    </xf>
    <xf numFmtId="4" fontId="57" fillId="0" borderId="10" xfId="0" applyNumberFormat="1" applyFont="1" applyBorder="1" applyAlignment="1">
      <alignment horizontal="center"/>
    </xf>
    <xf numFmtId="4" fontId="57" fillId="0" borderId="0" xfId="0" applyNumberFormat="1" applyFont="1" applyAlignment="1">
      <alignment horizontal="center"/>
    </xf>
    <xf numFmtId="4" fontId="57" fillId="0" borderId="0" xfId="0" applyNumberFormat="1" applyFont="1" applyAlignment="1">
      <alignment horizontal="center" vertical="center"/>
    </xf>
    <xf numFmtId="4" fontId="57" fillId="0" borderId="10" xfId="0" applyNumberFormat="1" applyFont="1" applyBorder="1" applyAlignment="1">
      <alignment horizontal="center" vertical="center"/>
    </xf>
    <xf numFmtId="4" fontId="57" fillId="0" borderId="6" xfId="0" applyNumberFormat="1" applyFont="1" applyBorder="1" applyAlignment="1">
      <alignment horizontal="center"/>
    </xf>
    <xf numFmtId="4" fontId="57" fillId="0" borderId="4" xfId="0" applyNumberFormat="1" applyFont="1" applyBorder="1" applyAlignment="1">
      <alignment horizontal="center"/>
    </xf>
    <xf numFmtId="4" fontId="57" fillId="0" borderId="4" xfId="0" applyNumberFormat="1" applyFont="1" applyBorder="1" applyAlignment="1">
      <alignment horizontal="center" vertical="center"/>
    </xf>
    <xf numFmtId="4" fontId="57" fillId="0" borderId="6" xfId="0" applyNumberFormat="1" applyFont="1" applyBorder="1" applyAlignment="1">
      <alignment horizontal="center" vertical="center"/>
    </xf>
    <xf numFmtId="4" fontId="57" fillId="0" borderId="37" xfId="0" applyNumberFormat="1" applyFont="1" applyBorder="1" applyAlignment="1">
      <alignment horizontal="center" vertical="center"/>
    </xf>
    <xf numFmtId="4" fontId="57" fillId="0" borderId="7" xfId="0" applyNumberFormat="1" applyFont="1" applyBorder="1" applyAlignment="1">
      <alignment horizontal="center" vertical="center"/>
    </xf>
    <xf numFmtId="4" fontId="57" fillId="0" borderId="7" xfId="0" applyNumberFormat="1" applyFont="1" applyBorder="1" applyAlignment="1">
      <alignment horizontal="center"/>
    </xf>
    <xf numFmtId="4" fontId="57" fillId="0" borderId="5" xfId="0" applyNumberFormat="1" applyFont="1" applyBorder="1" applyAlignment="1">
      <alignment horizontal="center"/>
    </xf>
    <xf numFmtId="4" fontId="57" fillId="0" borderId="37" xfId="0" applyNumberFormat="1" applyFont="1" applyBorder="1" applyAlignment="1">
      <alignment horizontal="center"/>
    </xf>
    <xf numFmtId="2" fontId="57" fillId="0" borderId="6" xfId="0" applyNumberFormat="1" applyFont="1" applyBorder="1" applyAlignment="1">
      <alignment horizontal="center"/>
    </xf>
    <xf numFmtId="2" fontId="57" fillId="0" borderId="42" xfId="0" applyNumberFormat="1" applyFont="1" applyBorder="1" applyAlignment="1">
      <alignment horizontal="center"/>
    </xf>
    <xf numFmtId="2" fontId="57" fillId="0" borderId="10" xfId="0" applyNumberFormat="1" applyFont="1" applyBorder="1" applyAlignment="1">
      <alignment horizontal="center"/>
    </xf>
    <xf numFmtId="2" fontId="57" fillId="0" borderId="37" xfId="0" applyNumberFormat="1" applyFont="1" applyBorder="1"/>
    <xf numFmtId="2" fontId="57" fillId="0" borderId="42" xfId="0" applyNumberFormat="1" applyFont="1" applyBorder="1"/>
    <xf numFmtId="2" fontId="57" fillId="0" borderId="43" xfId="0" applyNumberFormat="1" applyFont="1" applyBorder="1"/>
    <xf numFmtId="2" fontId="54" fillId="0" borderId="0" xfId="0" applyNumberFormat="1" applyFont="1" applyProtection="1">
      <protection locked="0"/>
    </xf>
    <xf numFmtId="2" fontId="57" fillId="0" borderId="7" xfId="0" applyNumberFormat="1" applyFont="1" applyBorder="1"/>
    <xf numFmtId="2" fontId="57" fillId="0" borderId="10" xfId="0" applyNumberFormat="1" applyFont="1" applyBorder="1"/>
    <xf numFmtId="2" fontId="57" fillId="0" borderId="5" xfId="0" applyNumberFormat="1" applyFont="1" applyBorder="1"/>
    <xf numFmtId="2" fontId="57" fillId="0" borderId="6" xfId="0" applyNumberFormat="1" applyFont="1" applyBorder="1"/>
    <xf numFmtId="2" fontId="57" fillId="0" borderId="4" xfId="0" applyNumberFormat="1" applyFont="1" applyBorder="1"/>
    <xf numFmtId="2" fontId="57" fillId="0" borderId="38" xfId="0" applyNumberFormat="1" applyFont="1" applyBorder="1"/>
    <xf numFmtId="2" fontId="57" fillId="0" borderId="8" xfId="0" applyNumberFormat="1" applyFont="1" applyBorder="1"/>
    <xf numFmtId="2" fontId="57" fillId="0" borderId="9" xfId="0" applyNumberFormat="1" applyFont="1" applyBorder="1"/>
    <xf numFmtId="4" fontId="57" fillId="0" borderId="38" xfId="0" applyNumberFormat="1" applyFont="1" applyBorder="1" applyAlignment="1">
      <alignment horizontal="center"/>
    </xf>
    <xf numFmtId="4" fontId="57" fillId="0" borderId="8" xfId="0" applyNumberFormat="1" applyFont="1" applyBorder="1" applyAlignment="1">
      <alignment horizontal="center"/>
    </xf>
    <xf numFmtId="4" fontId="57" fillId="0" borderId="9" xfId="0" applyNumberFormat="1" applyFont="1" applyBorder="1" applyAlignment="1">
      <alignment horizontal="center"/>
    </xf>
    <xf numFmtId="4" fontId="57" fillId="0" borderId="8" xfId="0" applyNumberFormat="1" applyFont="1" applyBorder="1" applyAlignment="1">
      <alignment horizontal="center" vertical="center"/>
    </xf>
    <xf numFmtId="4" fontId="57" fillId="0" borderId="9" xfId="0" applyNumberFormat="1" applyFont="1" applyBorder="1" applyAlignment="1">
      <alignment horizontal="center" vertical="center"/>
    </xf>
    <xf numFmtId="171" fontId="57" fillId="0" borderId="38" xfId="0" applyNumberFormat="1" applyFont="1" applyBorder="1" applyAlignment="1">
      <alignment horizontal="right" indent="1"/>
    </xf>
    <xf numFmtId="171" fontId="57" fillId="0" borderId="43" xfId="0" applyNumberFormat="1" applyFont="1" applyBorder="1" applyAlignment="1">
      <alignment horizontal="right" vertical="center" indent="1"/>
    </xf>
    <xf numFmtId="171" fontId="57" fillId="0" borderId="42" xfId="0" applyNumberFormat="1" applyFont="1" applyBorder="1" applyAlignment="1">
      <alignment horizontal="right" vertical="center" indent="1"/>
    </xf>
    <xf numFmtId="171" fontId="57" fillId="0" borderId="7" xfId="0" applyNumberFormat="1" applyFont="1" applyBorder="1" applyAlignment="1">
      <alignment horizontal="right" indent="1"/>
    </xf>
    <xf numFmtId="171" fontId="57" fillId="0" borderId="10" xfId="0" applyNumberFormat="1" applyFont="1" applyBorder="1" applyAlignment="1">
      <alignment horizontal="right" indent="1"/>
    </xf>
    <xf numFmtId="171" fontId="57" fillId="0" borderId="8" xfId="0" applyNumberFormat="1" applyFont="1" applyBorder="1" applyAlignment="1">
      <alignment horizontal="right" indent="1"/>
    </xf>
    <xf numFmtId="171" fontId="57" fillId="0" borderId="0" xfId="0" applyNumberFormat="1" applyFont="1" applyAlignment="1">
      <alignment horizontal="right" vertical="center" indent="1"/>
    </xf>
    <xf numFmtId="171" fontId="57" fillId="0" borderId="10" xfId="0" applyNumberFormat="1" applyFont="1" applyBorder="1" applyAlignment="1">
      <alignment horizontal="right" vertical="center" indent="1"/>
    </xf>
    <xf numFmtId="171" fontId="57" fillId="0" borderId="6" xfId="0" applyNumberFormat="1" applyFont="1" applyBorder="1" applyAlignment="1">
      <alignment horizontal="right" indent="1"/>
    </xf>
    <xf numFmtId="171" fontId="57" fillId="0" borderId="9" xfId="0" applyNumberFormat="1" applyFont="1" applyBorder="1" applyAlignment="1">
      <alignment horizontal="right" indent="1"/>
    </xf>
    <xf numFmtId="171" fontId="57" fillId="0" borderId="4" xfId="0" applyNumberFormat="1" applyFont="1" applyBorder="1" applyAlignment="1">
      <alignment horizontal="right" vertical="center" indent="1"/>
    </xf>
    <xf numFmtId="171" fontId="57" fillId="0" borderId="6" xfId="0" applyNumberFormat="1" applyFont="1" applyBorder="1" applyAlignment="1">
      <alignment horizontal="right" vertical="center" indent="1"/>
    </xf>
    <xf numFmtId="171" fontId="57" fillId="0" borderId="0" xfId="0" applyNumberFormat="1" applyFont="1" applyAlignment="1">
      <alignment horizontal="right" indent="1"/>
    </xf>
    <xf numFmtId="171" fontId="57" fillId="0" borderId="4" xfId="0" applyNumberFormat="1" applyFont="1" applyBorder="1" applyAlignment="1">
      <alignment horizontal="right" indent="1"/>
    </xf>
    <xf numFmtId="171" fontId="57" fillId="0" borderId="42" xfId="0" applyNumberFormat="1" applyFont="1" applyBorder="1" applyAlignment="1">
      <alignment horizontal="right" indent="1"/>
    </xf>
    <xf numFmtId="0" fontId="54" fillId="0" borderId="36" xfId="0" applyFont="1" applyBorder="1" applyProtection="1">
      <protection locked="0"/>
    </xf>
    <xf numFmtId="171" fontId="57" fillId="0" borderId="37" xfId="0" applyNumberFormat="1" applyFont="1" applyBorder="1" applyAlignment="1">
      <alignment horizontal="right" indent="1"/>
    </xf>
    <xf numFmtId="4" fontId="57" fillId="0" borderId="43" xfId="0" applyNumberFormat="1" applyFont="1" applyBorder="1" applyAlignment="1">
      <alignment horizontal="right" vertical="center" indent="1"/>
    </xf>
    <xf numFmtId="3" fontId="54" fillId="0" borderId="42" xfId="0" applyNumberFormat="1" applyFont="1" applyBorder="1" applyAlignment="1">
      <alignment horizontal="right" indent="1"/>
    </xf>
    <xf numFmtId="3" fontId="54" fillId="0" borderId="10" xfId="0" applyNumberFormat="1" applyFont="1" applyBorder="1" applyAlignment="1">
      <alignment horizontal="right" indent="1"/>
    </xf>
    <xf numFmtId="3" fontId="54" fillId="0" borderId="6" xfId="0" applyNumberFormat="1" applyFont="1" applyBorder="1" applyAlignment="1">
      <alignment horizontal="right" indent="1"/>
    </xf>
    <xf numFmtId="3" fontId="54" fillId="0" borderId="9" xfId="0" applyNumberFormat="1" applyFont="1" applyBorder="1" applyAlignment="1">
      <alignment horizontal="right" indent="1"/>
    </xf>
    <xf numFmtId="3" fontId="56" fillId="0" borderId="10" xfId="0" applyNumberFormat="1" applyFont="1" applyBorder="1" applyAlignment="1">
      <alignment horizontal="right" indent="1"/>
    </xf>
    <xf numFmtId="4" fontId="54" fillId="0" borderId="9" xfId="0" applyNumberFormat="1" applyFont="1" applyBorder="1" applyAlignment="1">
      <alignment horizontal="right" indent="1"/>
    </xf>
    <xf numFmtId="172" fontId="54" fillId="0" borderId="6" xfId="0" applyNumberFormat="1" applyFont="1" applyBorder="1" applyAlignment="1">
      <alignment horizontal="right" indent="1"/>
    </xf>
    <xf numFmtId="172" fontId="54" fillId="0" borderId="38" xfId="0" applyNumberFormat="1" applyFont="1" applyBorder="1" applyAlignment="1">
      <alignment horizontal="right" indent="1"/>
    </xf>
    <xf numFmtId="172" fontId="54" fillId="0" borderId="10" xfId="0" applyNumberFormat="1" applyFont="1" applyBorder="1" applyAlignment="1">
      <alignment horizontal="right" indent="1"/>
    </xf>
    <xf numFmtId="0" fontId="56" fillId="0" borderId="0" xfId="0" applyFont="1" applyProtection="1">
      <protection locked="0"/>
    </xf>
    <xf numFmtId="3" fontId="54" fillId="0" borderId="10" xfId="0" applyNumberFormat="1" applyFont="1" applyBorder="1" applyAlignment="1">
      <alignment horizontal="center"/>
    </xf>
    <xf numFmtId="3" fontId="54" fillId="0" borderId="0" xfId="0" applyNumberFormat="1" applyFont="1" applyAlignment="1">
      <alignment horizontal="center"/>
    </xf>
    <xf numFmtId="3" fontId="54" fillId="0" borderId="6" xfId="0" applyNumberFormat="1" applyFont="1" applyBorder="1" applyAlignment="1">
      <alignment horizontal="center"/>
    </xf>
    <xf numFmtId="3" fontId="54" fillId="0" borderId="42" xfId="0" applyNumberFormat="1" applyFont="1" applyBorder="1" applyAlignment="1">
      <alignment horizontal="center"/>
    </xf>
    <xf numFmtId="3" fontId="54" fillId="0" borderId="38" xfId="0" applyNumberFormat="1" applyFont="1" applyBorder="1" applyAlignment="1">
      <alignment horizontal="center"/>
    </xf>
    <xf numFmtId="3" fontId="54" fillId="0" borderId="8" xfId="0" applyNumberFormat="1" applyFont="1" applyBorder="1" applyAlignment="1">
      <alignment horizontal="center"/>
    </xf>
    <xf numFmtId="3" fontId="54" fillId="0" borderId="9" xfId="0" applyNumberFormat="1" applyFont="1" applyBorder="1" applyAlignment="1">
      <alignment horizontal="center"/>
    </xf>
    <xf numFmtId="3" fontId="56" fillId="0" borderId="10" xfId="0" applyNumberFormat="1" applyFont="1" applyBorder="1" applyAlignment="1">
      <alignment horizontal="center"/>
    </xf>
    <xf numFmtId="166" fontId="54" fillId="0" borderId="10" xfId="0" applyNumberFormat="1" applyFont="1" applyBorder="1" applyAlignment="1">
      <alignment horizontal="center"/>
    </xf>
    <xf numFmtId="166" fontId="54" fillId="0" borderId="0" xfId="0" applyNumberFormat="1" applyFont="1" applyAlignment="1">
      <alignment horizontal="center"/>
    </xf>
    <xf numFmtId="166" fontId="54" fillId="0" borderId="8" xfId="0" applyNumberFormat="1" applyFont="1" applyBorder="1" applyAlignment="1">
      <alignment horizontal="center" vertical="center"/>
    </xf>
    <xf numFmtId="166" fontId="54" fillId="0" borderId="6" xfId="0" applyNumberFormat="1" applyFont="1" applyBorder="1" applyAlignment="1">
      <alignment horizontal="center"/>
    </xf>
    <xf numFmtId="166" fontId="54" fillId="0" borderId="4" xfId="0" applyNumberFormat="1" applyFont="1" applyBorder="1" applyAlignment="1">
      <alignment horizontal="center"/>
    </xf>
    <xf numFmtId="166" fontId="54" fillId="0" borderId="9" xfId="0" applyNumberFormat="1" applyFont="1" applyBorder="1" applyAlignment="1">
      <alignment horizontal="center" vertical="center"/>
    </xf>
    <xf numFmtId="166" fontId="54" fillId="0" borderId="10" xfId="0" applyNumberFormat="1" applyFont="1" applyBorder="1" applyAlignment="1">
      <alignment horizontal="center" vertical="center"/>
    </xf>
    <xf numFmtId="166" fontId="54" fillId="0" borderId="0" xfId="0" applyNumberFormat="1" applyFont="1" applyAlignment="1">
      <alignment horizontal="center" vertical="center"/>
    </xf>
    <xf numFmtId="166" fontId="54" fillId="0" borderId="6" xfId="0" applyNumberFormat="1" applyFont="1" applyBorder="1" applyAlignment="1">
      <alignment horizontal="center" vertical="center"/>
    </xf>
    <xf numFmtId="166" fontId="54" fillId="0" borderId="4" xfId="0" applyNumberFormat="1" applyFont="1" applyBorder="1" applyAlignment="1">
      <alignment horizontal="center" vertical="center"/>
    </xf>
    <xf numFmtId="169" fontId="54" fillId="0" borderId="10" xfId="0" applyNumberFormat="1" applyFont="1" applyBorder="1" applyAlignment="1">
      <alignment horizontal="center"/>
    </xf>
    <xf numFmtId="0" fontId="54" fillId="0" borderId="10" xfId="0" applyFont="1" applyBorder="1" applyAlignment="1">
      <alignment horizontal="center"/>
    </xf>
    <xf numFmtId="169" fontId="54" fillId="0" borderId="6" xfId="0" applyNumberFormat="1" applyFont="1" applyBorder="1" applyAlignment="1">
      <alignment horizontal="center"/>
    </xf>
    <xf numFmtId="0" fontId="54" fillId="0" borderId="6" xfId="0" applyFont="1" applyBorder="1" applyAlignment="1">
      <alignment horizontal="center"/>
    </xf>
    <xf numFmtId="169" fontId="54" fillId="0" borderId="42" xfId="0" applyNumberFormat="1" applyFont="1" applyBorder="1" applyAlignment="1">
      <alignment horizontal="center"/>
    </xf>
    <xf numFmtId="0" fontId="54" fillId="0" borderId="42" xfId="0" applyFont="1" applyBorder="1" applyAlignment="1">
      <alignment horizontal="center"/>
    </xf>
    <xf numFmtId="169" fontId="54" fillId="0" borderId="0" xfId="0" applyNumberFormat="1" applyFont="1" applyAlignment="1">
      <alignment horizontal="center"/>
    </xf>
    <xf numFmtId="166" fontId="54" fillId="0" borderId="42" xfId="0" applyNumberFormat="1" applyFont="1" applyBorder="1" applyAlignment="1">
      <alignment horizontal="center" vertical="center"/>
    </xf>
    <xf numFmtId="169" fontId="54" fillId="0" borderId="43" xfId="0" applyNumberFormat="1" applyFont="1" applyBorder="1" applyAlignment="1">
      <alignment horizontal="center"/>
    </xf>
    <xf numFmtId="169" fontId="54" fillId="0" borderId="38" xfId="0" applyNumberFormat="1" applyFont="1" applyBorder="1" applyAlignment="1">
      <alignment horizontal="center"/>
    </xf>
    <xf numFmtId="169" fontId="54" fillId="0" borderId="8" xfId="0" applyNumberFormat="1" applyFont="1" applyBorder="1" applyAlignment="1">
      <alignment horizontal="center"/>
    </xf>
    <xf numFmtId="169" fontId="56" fillId="0" borderId="0" xfId="0" applyNumberFormat="1" applyFont="1" applyAlignment="1">
      <alignment horizontal="center"/>
    </xf>
    <xf numFmtId="169" fontId="56" fillId="0" borderId="10" xfId="0" applyNumberFormat="1" applyFont="1" applyBorder="1" applyAlignment="1">
      <alignment horizontal="center"/>
    </xf>
    <xf numFmtId="169" fontId="56" fillId="0" borderId="8" xfId="0" applyNumberFormat="1" applyFont="1" applyBorder="1" applyAlignment="1">
      <alignment horizontal="center"/>
    </xf>
    <xf numFmtId="166" fontId="54" fillId="0" borderId="10" xfId="0" applyNumberFormat="1" applyFont="1" applyBorder="1"/>
    <xf numFmtId="166" fontId="54" fillId="0" borderId="0" xfId="0" applyNumberFormat="1" applyFont="1"/>
    <xf numFmtId="166" fontId="54" fillId="0" borderId="8" xfId="0" applyNumberFormat="1" applyFont="1" applyBorder="1" applyAlignment="1">
      <alignment vertical="center"/>
    </xf>
    <xf numFmtId="166" fontId="54" fillId="0" borderId="6" xfId="0" applyNumberFormat="1" applyFont="1" applyBorder="1"/>
    <xf numFmtId="166" fontId="54" fillId="0" borderId="4" xfId="0" applyNumberFormat="1" applyFont="1" applyBorder="1"/>
    <xf numFmtId="166" fontId="54" fillId="0" borderId="9" xfId="0" applyNumberFormat="1" applyFont="1" applyBorder="1" applyAlignment="1">
      <alignment vertical="center"/>
    </xf>
    <xf numFmtId="169" fontId="54" fillId="0" borderId="10" xfId="0" applyNumberFormat="1" applyFont="1" applyBorder="1" applyAlignment="1">
      <alignment horizontal="right"/>
    </xf>
    <xf numFmtId="169" fontId="54" fillId="0" borderId="0" xfId="0" applyNumberFormat="1" applyFont="1" applyAlignment="1">
      <alignment horizontal="right"/>
    </xf>
    <xf numFmtId="166" fontId="54" fillId="0" borderId="10" xfId="0" applyNumberFormat="1" applyFont="1" applyBorder="1" applyAlignment="1">
      <alignment vertical="center"/>
    </xf>
    <xf numFmtId="166" fontId="54" fillId="0" borderId="0" xfId="0" applyNumberFormat="1" applyFont="1" applyAlignment="1">
      <alignment vertical="center"/>
    </xf>
    <xf numFmtId="166" fontId="54" fillId="0" borderId="6" xfId="0" applyNumberFormat="1" applyFont="1" applyBorder="1" applyAlignment="1">
      <alignment vertical="center"/>
    </xf>
    <xf numFmtId="166" fontId="54" fillId="0" borderId="4" xfId="0" applyNumberFormat="1" applyFont="1" applyBorder="1" applyAlignment="1">
      <alignment vertical="center"/>
    </xf>
    <xf numFmtId="166" fontId="54" fillId="0" borderId="42" xfId="0" applyNumberFormat="1" applyFont="1" applyBorder="1" applyAlignment="1">
      <alignment vertical="center"/>
    </xf>
    <xf numFmtId="166" fontId="54" fillId="0" borderId="43" xfId="0" applyNumberFormat="1" applyFont="1" applyBorder="1" applyAlignment="1">
      <alignment vertical="center"/>
    </xf>
    <xf numFmtId="166" fontId="54" fillId="0" borderId="38" xfId="0" applyNumberFormat="1" applyFont="1" applyBorder="1" applyAlignment="1">
      <alignment vertical="center"/>
    </xf>
    <xf numFmtId="166" fontId="59" fillId="0" borderId="10" xfId="0" applyNumberFormat="1" applyFont="1" applyBorder="1" applyAlignment="1">
      <alignment vertical="center"/>
    </xf>
    <xf numFmtId="166" fontId="57" fillId="0" borderId="10" xfId="0" applyNumberFormat="1" applyFont="1" applyBorder="1" applyAlignment="1">
      <alignment vertical="center"/>
    </xf>
    <xf numFmtId="10" fontId="50" fillId="0" borderId="0" xfId="1" applyNumberFormat="1" applyFont="1" applyAlignment="1" applyProtection="1">
      <alignment horizontal="right"/>
      <protection locked="0"/>
    </xf>
    <xf numFmtId="40" fontId="57" fillId="0" borderId="10" xfId="0" applyNumberFormat="1" applyFont="1" applyBorder="1" applyAlignment="1">
      <alignment horizontal="center"/>
    </xf>
    <xf numFmtId="40" fontId="57" fillId="0" borderId="6" xfId="0" applyNumberFormat="1" applyFont="1" applyBorder="1" applyAlignment="1">
      <alignment horizontal="center"/>
    </xf>
    <xf numFmtId="40" fontId="57" fillId="0" borderId="0" xfId="0" applyNumberFormat="1" applyFont="1" applyAlignment="1">
      <alignment horizontal="center"/>
    </xf>
    <xf numFmtId="40" fontId="57" fillId="0" borderId="4" xfId="0" applyNumberFormat="1" applyFont="1" applyBorder="1" applyAlignment="1">
      <alignment horizontal="center"/>
    </xf>
    <xf numFmtId="169" fontId="54" fillId="0" borderId="4" xfId="0" applyNumberFormat="1" applyFont="1" applyBorder="1" applyAlignment="1">
      <alignment horizontal="center"/>
    </xf>
    <xf numFmtId="4" fontId="54" fillId="0" borderId="10" xfId="0" applyNumberFormat="1" applyFont="1" applyBorder="1" applyAlignment="1">
      <alignment vertical="center"/>
    </xf>
    <xf numFmtId="4" fontId="54" fillId="0" borderId="6" xfId="0" applyNumberFormat="1" applyFont="1" applyBorder="1" applyAlignment="1">
      <alignment vertical="center"/>
    </xf>
    <xf numFmtId="169" fontId="54" fillId="0" borderId="0" xfId="0" applyNumberFormat="1" applyFont="1" applyAlignment="1">
      <alignment horizontal="right" vertical="center"/>
    </xf>
    <xf numFmtId="169" fontId="54" fillId="0" borderId="10" xfId="0" applyNumberFormat="1" applyFont="1" applyBorder="1" applyAlignment="1">
      <alignment vertical="center"/>
    </xf>
    <xf numFmtId="169" fontId="54" fillId="0" borderId="0" xfId="0" applyNumberFormat="1" applyFont="1" applyAlignment="1">
      <alignment vertical="center"/>
    </xf>
    <xf numFmtId="40" fontId="57" fillId="0" borderId="43" xfId="0" applyNumberFormat="1" applyFont="1" applyBorder="1" applyAlignment="1">
      <alignment horizontal="center"/>
    </xf>
    <xf numFmtId="40" fontId="57" fillId="0" borderId="42" xfId="0" applyNumberFormat="1" applyFont="1" applyBorder="1" applyAlignment="1">
      <alignment horizontal="center"/>
    </xf>
    <xf numFmtId="4" fontId="57" fillId="0" borderId="1" xfId="0" applyNumberFormat="1" applyFont="1" applyBorder="1" applyAlignment="1">
      <alignment horizontal="center"/>
    </xf>
    <xf numFmtId="2" fontId="57" fillId="0" borderId="1" xfId="0" applyNumberFormat="1" applyFont="1" applyBorder="1" applyAlignment="1">
      <alignment horizontal="center"/>
    </xf>
    <xf numFmtId="0" fontId="62" fillId="0" borderId="0" xfId="0" applyFont="1" applyAlignment="1">
      <alignment vertical="center"/>
    </xf>
    <xf numFmtId="0" fontId="48" fillId="0" borderId="0" xfId="0" applyFont="1"/>
    <xf numFmtId="0" fontId="62" fillId="0" borderId="0" xfId="0" applyFont="1" applyAlignment="1">
      <alignment horizontal="center" vertical="center"/>
    </xf>
    <xf numFmtId="166" fontId="56" fillId="0" borderId="0" xfId="0" applyNumberFormat="1" applyFont="1" applyAlignment="1">
      <alignment vertical="center"/>
    </xf>
    <xf numFmtId="166" fontId="56" fillId="0" borderId="10" xfId="0" applyNumberFormat="1" applyFont="1" applyBorder="1" applyAlignment="1">
      <alignment vertical="center"/>
    </xf>
    <xf numFmtId="166" fontId="50" fillId="0" borderId="0" xfId="0" applyNumberFormat="1" applyFont="1"/>
    <xf numFmtId="4" fontId="61" fillId="0" borderId="42" xfId="0" applyNumberFormat="1" applyFont="1" applyBorder="1" applyAlignment="1">
      <alignment horizontal="right" indent="1"/>
    </xf>
    <xf numFmtId="4" fontId="61" fillId="0" borderId="6" xfId="0" applyNumberFormat="1" applyFont="1" applyBorder="1" applyAlignment="1">
      <alignment horizontal="right" indent="1"/>
    </xf>
    <xf numFmtId="0" fontId="64" fillId="0" borderId="0" xfId="0" applyFont="1" applyAlignment="1" applyProtection="1">
      <alignment horizontal="center" vertical="center"/>
      <protection locked="0"/>
    </xf>
    <xf numFmtId="40" fontId="57" fillId="0" borderId="8" xfId="0" applyNumberFormat="1" applyFont="1" applyBorder="1" applyAlignment="1">
      <alignment horizontal="center"/>
    </xf>
    <xf numFmtId="4" fontId="61" fillId="0" borderId="10" xfId="0" applyNumberFormat="1" applyFont="1" applyBorder="1" applyAlignment="1">
      <alignment horizontal="right" indent="1"/>
    </xf>
    <xf numFmtId="168" fontId="54" fillId="0" borderId="38" xfId="0" applyNumberFormat="1" applyFont="1" applyBorder="1" applyAlignment="1">
      <alignment horizontal="center"/>
    </xf>
    <xf numFmtId="168" fontId="54" fillId="0" borderId="42" xfId="0" applyNumberFormat="1" applyFont="1" applyBorder="1" applyAlignment="1">
      <alignment horizontal="center"/>
    </xf>
    <xf numFmtId="168" fontId="54" fillId="0" borderId="8" xfId="0" applyNumberFormat="1" applyFont="1" applyBorder="1" applyAlignment="1">
      <alignment horizontal="center"/>
    </xf>
    <xf numFmtId="168" fontId="54" fillId="0" borderId="10" xfId="0" applyNumberFormat="1" applyFont="1" applyBorder="1" applyAlignment="1">
      <alignment horizontal="center"/>
    </xf>
    <xf numFmtId="168" fontId="54" fillId="0" borderId="9" xfId="0" applyNumberFormat="1" applyFont="1" applyBorder="1" applyAlignment="1">
      <alignment horizontal="center"/>
    </xf>
    <xf numFmtId="168" fontId="54" fillId="0" borderId="6" xfId="0" applyNumberFormat="1" applyFont="1" applyBorder="1" applyAlignment="1">
      <alignment horizontal="center"/>
    </xf>
    <xf numFmtId="168" fontId="54" fillId="0" borderId="0" xfId="0" applyNumberFormat="1" applyFont="1" applyAlignment="1">
      <alignment horizontal="center"/>
    </xf>
    <xf numFmtId="168" fontId="54" fillId="0" borderId="4" xfId="0" applyNumberFormat="1" applyFont="1" applyBorder="1" applyAlignment="1">
      <alignment horizontal="center"/>
    </xf>
    <xf numFmtId="168" fontId="54" fillId="0" borderId="5" xfId="0" applyNumberFormat="1" applyFont="1" applyBorder="1" applyAlignment="1">
      <alignment horizontal="center"/>
    </xf>
    <xf numFmtId="0" fontId="66" fillId="0" borderId="0" xfId="0" applyFont="1"/>
    <xf numFmtId="0" fontId="54" fillId="0" borderId="0" xfId="0" applyFont="1"/>
    <xf numFmtId="0" fontId="72" fillId="58" borderId="0" xfId="0" applyFont="1" applyFill="1" applyAlignment="1">
      <alignment horizontal="right" vertical="center"/>
    </xf>
    <xf numFmtId="0" fontId="69" fillId="58" borderId="0" xfId="0" applyFont="1" applyFill="1" applyAlignment="1">
      <alignment horizontal="right" vertical="center"/>
    </xf>
    <xf numFmtId="0" fontId="62" fillId="58" borderId="0" xfId="0" applyFont="1" applyFill="1" applyAlignment="1">
      <alignment vertical="center"/>
    </xf>
    <xf numFmtId="0" fontId="72" fillId="58" borderId="0" xfId="0" applyFont="1" applyFill="1" applyAlignment="1">
      <alignment horizontal="center" vertical="center"/>
    </xf>
    <xf numFmtId="0" fontId="70" fillId="58" borderId="0" xfId="0" applyFont="1" applyFill="1" applyAlignment="1">
      <alignment horizontal="center" vertical="center"/>
    </xf>
    <xf numFmtId="0" fontId="69" fillId="58" borderId="0" xfId="0" applyFont="1" applyFill="1" applyAlignment="1">
      <alignment horizontal="center" vertical="center"/>
    </xf>
    <xf numFmtId="0" fontId="72" fillId="0" borderId="0" xfId="0" applyFont="1" applyAlignment="1">
      <alignment vertical="center"/>
    </xf>
    <xf numFmtId="0" fontId="71" fillId="0" borderId="0" xfId="0" applyFont="1" applyAlignment="1">
      <alignment vertical="center"/>
    </xf>
    <xf numFmtId="0" fontId="50" fillId="0" borderId="0" xfId="0" applyFont="1" applyAlignment="1">
      <alignment vertical="center"/>
    </xf>
    <xf numFmtId="0" fontId="72" fillId="59" borderId="0" xfId="0" applyFont="1" applyFill="1" applyAlignment="1">
      <alignment horizontal="left" vertical="center"/>
    </xf>
    <xf numFmtId="0" fontId="74" fillId="59" borderId="0" xfId="0" applyFont="1" applyFill="1" applyAlignment="1">
      <alignment horizontal="center" vertical="center"/>
    </xf>
    <xf numFmtId="0" fontId="68" fillId="58" borderId="0" xfId="0" applyFont="1" applyFill="1" applyAlignment="1">
      <alignment vertical="center"/>
    </xf>
    <xf numFmtId="0" fontId="68" fillId="58" borderId="0" xfId="0" applyFont="1" applyFill="1" applyAlignment="1">
      <alignment horizontal="center" vertical="center"/>
    </xf>
    <xf numFmtId="0" fontId="73"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applyAlignment="1">
      <alignment vertical="top"/>
    </xf>
    <xf numFmtId="0" fontId="50" fillId="0" borderId="38" xfId="0" applyFont="1" applyBorder="1" applyAlignment="1">
      <alignment vertical="top" wrapText="1"/>
    </xf>
    <xf numFmtId="0" fontId="50" fillId="0" borderId="38" xfId="0" applyFont="1" applyBorder="1" applyAlignment="1">
      <alignment horizontal="justify" vertical="top" wrapText="1"/>
    </xf>
    <xf numFmtId="0" fontId="50" fillId="0" borderId="8" xfId="0" applyFont="1" applyBorder="1" applyAlignment="1">
      <alignment horizontal="justify" vertical="top" wrapText="1"/>
    </xf>
    <xf numFmtId="0" fontId="80" fillId="0" borderId="0" xfId="0" applyFont="1" applyAlignment="1">
      <alignment vertical="top"/>
    </xf>
    <xf numFmtId="0" fontId="80" fillId="0" borderId="0" xfId="0" applyFont="1" applyAlignment="1">
      <alignment vertical="top" wrapText="1"/>
    </xf>
    <xf numFmtId="0" fontId="50" fillId="0" borderId="0" xfId="0" applyFont="1" applyAlignment="1">
      <alignment horizontal="right" vertical="top"/>
    </xf>
    <xf numFmtId="0" fontId="81" fillId="58" borderId="5" xfId="0" applyFont="1" applyFill="1" applyBorder="1" applyAlignment="1">
      <alignment horizontal="right" vertical="top" wrapText="1"/>
    </xf>
    <xf numFmtId="0" fontId="52" fillId="0" borderId="9" xfId="0" applyFont="1" applyBorder="1" applyAlignment="1">
      <alignment horizontal="justify" vertical="top" wrapText="1"/>
    </xf>
    <xf numFmtId="0" fontId="81" fillId="58" borderId="7" xfId="0" applyFont="1" applyFill="1" applyBorder="1" applyAlignment="1">
      <alignment horizontal="right" vertical="top" wrapText="1"/>
    </xf>
    <xf numFmtId="0" fontId="52" fillId="0" borderId="8" xfId="0" applyFont="1" applyBorder="1" applyAlignment="1">
      <alignment horizontal="justify" vertical="top" wrapText="1"/>
    </xf>
    <xf numFmtId="0" fontId="82" fillId="58" borderId="37" xfId="0" applyFont="1" applyFill="1" applyBorder="1" applyAlignment="1">
      <alignment horizontal="right" vertical="top" wrapText="1"/>
    </xf>
    <xf numFmtId="0" fontId="82" fillId="58" borderId="7" xfId="0" applyFont="1" applyFill="1" applyBorder="1" applyAlignment="1">
      <alignment horizontal="right" vertical="top" wrapText="1"/>
    </xf>
    <xf numFmtId="0" fontId="84" fillId="58" borderId="37" xfId="0" applyFont="1" applyFill="1" applyBorder="1" applyAlignment="1">
      <alignment horizontal="right" vertical="top" wrapText="1"/>
    </xf>
    <xf numFmtId="0" fontId="68" fillId="56" borderId="0" xfId="0" applyFont="1" applyFill="1" applyAlignment="1">
      <alignment horizontal="center" vertical="center"/>
    </xf>
    <xf numFmtId="0" fontId="86" fillId="58" borderId="7" xfId="0" applyFont="1" applyFill="1" applyBorder="1" applyAlignment="1">
      <alignment horizontal="center"/>
    </xf>
    <xf numFmtId="0" fontId="86" fillId="58" borderId="5" xfId="0" applyFont="1" applyFill="1" applyBorder="1" applyAlignment="1">
      <alignment horizontal="center"/>
    </xf>
    <xf numFmtId="0" fontId="86" fillId="58" borderId="0" xfId="0" applyFont="1" applyFill="1" applyAlignment="1">
      <alignment horizontal="center"/>
    </xf>
    <xf numFmtId="0" fontId="86" fillId="58" borderId="4" xfId="0" applyFont="1" applyFill="1" applyBorder="1" applyAlignment="1">
      <alignment horizontal="center"/>
    </xf>
    <xf numFmtId="0" fontId="69" fillId="58" borderId="7" xfId="0" applyFont="1" applyFill="1" applyBorder="1" applyAlignment="1">
      <alignment horizontal="center"/>
    </xf>
    <xf numFmtId="0" fontId="69" fillId="58" borderId="8" xfId="0" applyFont="1" applyFill="1" applyBorder="1" applyAlignment="1">
      <alignment horizontal="center"/>
    </xf>
    <xf numFmtId="0" fontId="69" fillId="58" borderId="5" xfId="0" applyFont="1" applyFill="1" applyBorder="1" applyAlignment="1">
      <alignment horizontal="center"/>
    </xf>
    <xf numFmtId="0" fontId="69" fillId="58" borderId="9" xfId="0" applyFont="1" applyFill="1" applyBorder="1" applyAlignment="1">
      <alignment horizontal="center"/>
    </xf>
    <xf numFmtId="0" fontId="69" fillId="58" borderId="38" xfId="0" applyFont="1" applyFill="1" applyBorder="1" applyAlignment="1">
      <alignment horizontal="center"/>
    </xf>
    <xf numFmtId="0" fontId="69" fillId="58" borderId="43" xfId="0" applyFont="1" applyFill="1" applyBorder="1" applyAlignment="1">
      <alignment horizontal="center"/>
    </xf>
    <xf numFmtId="0" fontId="69" fillId="58" borderId="0" xfId="0" applyFont="1" applyFill="1" applyAlignment="1">
      <alignment horizontal="center"/>
    </xf>
    <xf numFmtId="0" fontId="69" fillId="58" borderId="4" xfId="0" applyFont="1" applyFill="1" applyBorder="1" applyAlignment="1">
      <alignment horizontal="center"/>
    </xf>
    <xf numFmtId="0" fontId="76" fillId="58" borderId="7" xfId="0" applyFont="1" applyFill="1" applyBorder="1" applyAlignment="1">
      <alignment horizontal="center"/>
    </xf>
    <xf numFmtId="0" fontId="76" fillId="58" borderId="5" xfId="0" applyFont="1" applyFill="1" applyBorder="1" applyAlignment="1">
      <alignment horizontal="center"/>
    </xf>
    <xf numFmtId="0" fontId="76" fillId="58" borderId="7" xfId="0" applyFont="1" applyFill="1" applyBorder="1"/>
    <xf numFmtId="0" fontId="76" fillId="58" borderId="5" xfId="0" applyFont="1" applyFill="1" applyBorder="1"/>
    <xf numFmtId="0" fontId="74" fillId="58" borderId="37" xfId="0" applyFont="1" applyFill="1" applyBorder="1" applyAlignment="1">
      <alignment horizontal="center"/>
    </xf>
    <xf numFmtId="0" fontId="74" fillId="58" borderId="37" xfId="0" applyFont="1" applyFill="1" applyBorder="1" applyAlignment="1">
      <alignment horizontal="center" vertical="center"/>
    </xf>
    <xf numFmtId="0" fontId="79" fillId="0" borderId="0" xfId="0" applyFont="1" applyProtection="1">
      <protection locked="0"/>
    </xf>
    <xf numFmtId="0" fontId="79" fillId="0" borderId="0" xfId="0" applyFont="1" applyAlignment="1" applyProtection="1">
      <alignment horizontal="right"/>
      <protection locked="0"/>
    </xf>
    <xf numFmtId="165" fontId="79" fillId="0" borderId="0" xfId="7" applyFont="1" applyAlignment="1" applyProtection="1">
      <alignment horizontal="right"/>
      <protection locked="0"/>
    </xf>
    <xf numFmtId="165" fontId="79" fillId="0" borderId="0" xfId="0" applyNumberFormat="1" applyFont="1" applyAlignment="1" applyProtection="1">
      <alignment horizontal="right"/>
      <protection locked="0"/>
    </xf>
    <xf numFmtId="40" fontId="88" fillId="0" borderId="0" xfId="0" applyNumberFormat="1" applyFont="1" applyAlignment="1" applyProtection="1">
      <alignment horizontal="right"/>
      <protection locked="0"/>
    </xf>
    <xf numFmtId="165" fontId="88" fillId="0" borderId="0" xfId="7" applyFont="1" applyAlignment="1" applyProtection="1">
      <alignment horizontal="right"/>
      <protection locked="0"/>
    </xf>
    <xf numFmtId="178" fontId="79" fillId="0" borderId="0" xfId="0" applyNumberFormat="1" applyFont="1" applyAlignment="1" applyProtection="1">
      <alignment horizontal="right"/>
      <protection locked="0"/>
    </xf>
    <xf numFmtId="0" fontId="88" fillId="0" borderId="0" xfId="0" applyFont="1" applyProtection="1">
      <protection locked="0"/>
    </xf>
    <xf numFmtId="0" fontId="70" fillId="58" borderId="37" xfId="0" applyFont="1" applyFill="1" applyBorder="1" applyAlignment="1">
      <alignment horizontal="center"/>
    </xf>
    <xf numFmtId="0" fontId="70" fillId="58" borderId="7" xfId="0" applyFont="1" applyFill="1" applyBorder="1" applyAlignment="1">
      <alignment horizontal="center"/>
    </xf>
    <xf numFmtId="0" fontId="70" fillId="58" borderId="5" xfId="0" applyFont="1" applyFill="1" applyBorder="1" applyAlignment="1">
      <alignment horizontal="center"/>
    </xf>
    <xf numFmtId="0" fontId="89" fillId="0" borderId="0" xfId="0" applyFont="1" applyProtection="1">
      <protection locked="0"/>
    </xf>
    <xf numFmtId="0" fontId="78" fillId="0" borderId="0" xfId="0" applyFont="1" applyProtection="1">
      <protection locked="0"/>
    </xf>
    <xf numFmtId="0" fontId="85" fillId="56" borderId="6" xfId="0" applyFont="1" applyFill="1" applyBorder="1" applyAlignment="1">
      <alignment horizontal="center" vertical="center" wrapText="1"/>
    </xf>
    <xf numFmtId="0" fontId="85" fillId="56" borderId="1" xfId="0" applyFont="1" applyFill="1" applyBorder="1" applyAlignment="1">
      <alignment horizontal="center" vertical="center"/>
    </xf>
    <xf numFmtId="0" fontId="68" fillId="56" borderId="1" xfId="0" applyFont="1" applyFill="1" applyBorder="1" applyAlignment="1">
      <alignment horizontal="center" vertical="center" wrapText="1"/>
    </xf>
    <xf numFmtId="0" fontId="68" fillId="56" borderId="4" xfId="0" applyFont="1" applyFill="1" applyBorder="1" applyAlignment="1">
      <alignment horizontal="center" vertical="center"/>
    </xf>
    <xf numFmtId="0" fontId="70" fillId="58" borderId="0" xfId="0" applyFont="1" applyFill="1" applyAlignment="1">
      <alignment horizontal="center"/>
    </xf>
    <xf numFmtId="0" fontId="70" fillId="58" borderId="4" xfId="0" applyFont="1" applyFill="1" applyBorder="1" applyAlignment="1">
      <alignment horizontal="center"/>
    </xf>
    <xf numFmtId="2" fontId="89" fillId="0" borderId="0" xfId="0" applyNumberFormat="1" applyFont="1" applyProtection="1">
      <protection locked="0"/>
    </xf>
    <xf numFmtId="165" fontId="89" fillId="0" borderId="0" xfId="7" applyFont="1" applyProtection="1">
      <protection locked="0"/>
    </xf>
    <xf numFmtId="169" fontId="89" fillId="0" borderId="0" xfId="0" applyNumberFormat="1" applyFont="1" applyProtection="1">
      <protection locked="0"/>
    </xf>
    <xf numFmtId="0" fontId="60" fillId="0" borderId="0" xfId="0" applyFont="1" applyProtection="1">
      <protection locked="0"/>
    </xf>
    <xf numFmtId="165" fontId="78" fillId="0" borderId="0" xfId="7" applyFont="1" applyProtection="1">
      <protection locked="0"/>
    </xf>
    <xf numFmtId="4" fontId="78" fillId="0" borderId="0" xfId="0" applyNumberFormat="1" applyFont="1" applyProtection="1">
      <protection locked="0"/>
    </xf>
    <xf numFmtId="0" fontId="92" fillId="0" borderId="0" xfId="0" applyFont="1" applyProtection="1">
      <protection locked="0"/>
    </xf>
    <xf numFmtId="0" fontId="93" fillId="0" borderId="0" xfId="0" applyFont="1" applyProtection="1">
      <protection locked="0"/>
    </xf>
    <xf numFmtId="0" fontId="58" fillId="0" borderId="0" xfId="0" applyFont="1" applyProtection="1">
      <protection locked="0"/>
    </xf>
    <xf numFmtId="0" fontId="77" fillId="0" borderId="0" xfId="0" applyFont="1" applyProtection="1">
      <protection locked="0"/>
    </xf>
    <xf numFmtId="2" fontId="78" fillId="0" borderId="0" xfId="0" applyNumberFormat="1" applyFont="1" applyProtection="1">
      <protection locked="0"/>
    </xf>
    <xf numFmtId="4" fontId="85" fillId="60" borderId="1" xfId="0" applyNumberFormat="1" applyFont="1" applyFill="1" applyBorder="1" applyAlignment="1">
      <alignment horizontal="right" vertical="center" indent="1"/>
    </xf>
    <xf numFmtId="4" fontId="85" fillId="60" borderId="13" xfId="0" applyNumberFormat="1" applyFont="1" applyFill="1" applyBorder="1" applyAlignment="1">
      <alignment horizontal="right" vertical="center" indent="1"/>
    </xf>
    <xf numFmtId="4" fontId="85" fillId="60" borderId="3" xfId="0" applyNumberFormat="1" applyFont="1" applyFill="1" applyBorder="1" applyAlignment="1">
      <alignment horizontal="right" vertical="center" indent="1"/>
    </xf>
    <xf numFmtId="176" fontId="50" fillId="0" borderId="0" xfId="7" applyNumberFormat="1" applyFont="1" applyProtection="1">
      <protection locked="0"/>
    </xf>
    <xf numFmtId="176" fontId="50" fillId="0" borderId="0" xfId="0" applyNumberFormat="1" applyFont="1" applyProtection="1">
      <protection locked="0"/>
    </xf>
    <xf numFmtId="0" fontId="68" fillId="56" borderId="6" xfId="0" applyFont="1" applyFill="1" applyBorder="1" applyAlignment="1">
      <alignment horizontal="center" vertical="center" wrapText="1"/>
    </xf>
    <xf numFmtId="176" fontId="54" fillId="0" borderId="0" xfId="7" applyNumberFormat="1" applyFont="1" applyProtection="1">
      <protection locked="0"/>
    </xf>
    <xf numFmtId="4" fontId="89" fillId="0" borderId="0" xfId="0" applyNumberFormat="1" applyFont="1" applyProtection="1">
      <protection locked="0"/>
    </xf>
    <xf numFmtId="176" fontId="89" fillId="0" borderId="0" xfId="7" applyNumberFormat="1" applyFont="1" applyProtection="1">
      <protection locked="0"/>
    </xf>
    <xf numFmtId="0" fontId="85" fillId="56" borderId="6" xfId="0" applyFont="1" applyFill="1" applyBorder="1" applyAlignment="1">
      <alignment horizontal="center" vertical="center"/>
    </xf>
    <xf numFmtId="0" fontId="94" fillId="0" borderId="0" xfId="0" applyFont="1" applyProtection="1">
      <protection locked="0"/>
    </xf>
    <xf numFmtId="4" fontId="94" fillId="0" borderId="0" xfId="0" applyNumberFormat="1" applyFont="1" applyProtection="1">
      <protection locked="0"/>
    </xf>
    <xf numFmtId="0" fontId="95" fillId="0" borderId="0" xfId="0" applyFont="1" applyProtection="1">
      <protection locked="0"/>
    </xf>
    <xf numFmtId="4" fontId="95" fillId="0" borderId="0" xfId="0" applyNumberFormat="1" applyFont="1" applyProtection="1">
      <protection locked="0"/>
    </xf>
    <xf numFmtId="174" fontId="50" fillId="0" borderId="0" xfId="1" applyNumberFormat="1" applyFont="1" applyProtection="1">
      <protection locked="0"/>
    </xf>
    <xf numFmtId="9" fontId="50" fillId="0" borderId="0" xfId="1" applyFont="1" applyProtection="1">
      <protection locked="0"/>
    </xf>
    <xf numFmtId="0" fontId="68" fillId="56" borderId="6" xfId="0" applyFont="1" applyFill="1" applyBorder="1" applyAlignment="1">
      <alignment horizontal="center" vertical="center" textRotation="180" wrapText="1"/>
    </xf>
    <xf numFmtId="0" fontId="68" fillId="56" borderId="3" xfId="0" applyFont="1" applyFill="1" applyBorder="1" applyAlignment="1">
      <alignment horizontal="center" vertical="center" textRotation="180" wrapText="1"/>
    </xf>
    <xf numFmtId="0" fontId="68" fillId="56" borderId="1" xfId="0" applyFont="1" applyFill="1" applyBorder="1" applyAlignment="1">
      <alignment horizontal="center" vertical="center" textRotation="180" wrapText="1"/>
    </xf>
    <xf numFmtId="0" fontId="68" fillId="56" borderId="2" xfId="0" applyFont="1" applyFill="1" applyBorder="1" applyAlignment="1">
      <alignment horizontal="center" vertical="center" textRotation="180" wrapText="1"/>
    </xf>
    <xf numFmtId="0" fontId="68" fillId="56" borderId="9" xfId="0" applyFont="1" applyFill="1" applyBorder="1" applyAlignment="1">
      <alignment horizontal="center" vertical="center" textRotation="180" wrapText="1"/>
    </xf>
    <xf numFmtId="0" fontId="68" fillId="56" borderId="5" xfId="0" applyFont="1" applyFill="1" applyBorder="1" applyAlignment="1">
      <alignment horizontal="center" vertical="center" textRotation="180" wrapText="1"/>
    </xf>
    <xf numFmtId="0" fontId="69" fillId="58" borderId="7" xfId="0" applyFont="1" applyFill="1" applyBorder="1" applyAlignment="1">
      <alignment horizontal="center" vertical="top"/>
    </xf>
    <xf numFmtId="0" fontId="69" fillId="58" borderId="5" xfId="0" applyFont="1" applyFill="1" applyBorder="1" applyAlignment="1">
      <alignment horizontal="center" vertical="top"/>
    </xf>
    <xf numFmtId="0" fontId="85" fillId="56" borderId="1" xfId="0" applyFont="1" applyFill="1" applyBorder="1" applyAlignment="1">
      <alignment horizontal="center" vertical="center" wrapText="1"/>
    </xf>
    <xf numFmtId="0" fontId="85" fillId="56" borderId="4" xfId="0" applyFont="1" applyFill="1" applyBorder="1" applyAlignment="1">
      <alignment horizontal="center" vertical="center" wrapText="1"/>
    </xf>
    <xf numFmtId="2" fontId="77" fillId="0" borderId="0" xfId="0" applyNumberFormat="1" applyFont="1" applyAlignment="1" applyProtection="1">
      <alignment horizontal="center"/>
      <protection locked="0"/>
    </xf>
    <xf numFmtId="0" fontId="68" fillId="56" borderId="1" xfId="0" applyFont="1" applyFill="1" applyBorder="1" applyAlignment="1">
      <alignment horizontal="center" vertical="center"/>
    </xf>
    <xf numFmtId="165" fontId="78" fillId="0" borderId="0" xfId="7" applyFont="1" applyAlignment="1" applyProtection="1">
      <alignment horizontal="center"/>
      <protection locked="0"/>
    </xf>
    <xf numFmtId="0" fontId="68" fillId="56" borderId="5" xfId="0" applyFont="1" applyFill="1" applyBorder="1" applyAlignment="1">
      <alignment horizontal="center" vertical="center"/>
    </xf>
    <xf numFmtId="0" fontId="69" fillId="58" borderId="5" xfId="0" applyFont="1" applyFill="1" applyBorder="1"/>
    <xf numFmtId="0" fontId="69" fillId="58" borderId="7" xfId="0" applyFont="1" applyFill="1" applyBorder="1" applyAlignment="1">
      <alignment vertical="center"/>
    </xf>
    <xf numFmtId="0" fontId="69" fillId="58" borderId="5" xfId="0" applyFont="1" applyFill="1" applyBorder="1" applyAlignment="1">
      <alignment vertical="center"/>
    </xf>
    <xf numFmtId="0" fontId="70" fillId="58" borderId="7" xfId="0" applyFont="1" applyFill="1" applyBorder="1" applyAlignment="1">
      <alignment horizontal="center" vertical="center"/>
    </xf>
    <xf numFmtId="0" fontId="70" fillId="58" borderId="5" xfId="0" applyFont="1" applyFill="1" applyBorder="1" applyAlignment="1">
      <alignment horizontal="center" vertical="center"/>
    </xf>
    <xf numFmtId="0" fontId="70" fillId="58" borderId="37" xfId="0" applyFont="1" applyFill="1" applyBorder="1" applyAlignment="1">
      <alignment horizontal="center" vertical="center"/>
    </xf>
    <xf numFmtId="0" fontId="70" fillId="58" borderId="7" xfId="0" applyFont="1" applyFill="1" applyBorder="1" applyAlignment="1">
      <alignment vertical="center"/>
    </xf>
    <xf numFmtId="0" fontId="70" fillId="58" borderId="5" xfId="0" applyFont="1" applyFill="1" applyBorder="1" applyAlignment="1">
      <alignment vertical="center"/>
    </xf>
    <xf numFmtId="0" fontId="85" fillId="56" borderId="5" xfId="0" applyFont="1" applyFill="1" applyBorder="1" applyAlignment="1">
      <alignment horizontal="center" vertical="center"/>
    </xf>
    <xf numFmtId="0" fontId="65" fillId="0" borderId="0" xfId="0" applyFont="1" applyAlignment="1" applyProtection="1">
      <alignment vertical="center"/>
      <protection locked="0"/>
    </xf>
    <xf numFmtId="0" fontId="72" fillId="0" borderId="0" xfId="0" applyFont="1" applyProtection="1">
      <protection locked="0"/>
    </xf>
    <xf numFmtId="0" fontId="85" fillId="56" borderId="10" xfId="0" applyFont="1" applyFill="1" applyBorder="1" applyAlignment="1" applyProtection="1">
      <alignment horizontal="center" vertical="center" wrapText="1"/>
      <protection locked="0"/>
    </xf>
    <xf numFmtId="0" fontId="85" fillId="56" borderId="1" xfId="0" applyFont="1" applyFill="1" applyBorder="1" applyAlignment="1" applyProtection="1">
      <alignment horizontal="center" vertical="center" wrapText="1"/>
      <protection locked="0"/>
    </xf>
    <xf numFmtId="0" fontId="91" fillId="0" borderId="0" xfId="0" applyFont="1" applyAlignment="1" applyProtection="1">
      <alignment vertical="center"/>
      <protection locked="0"/>
    </xf>
    <xf numFmtId="168" fontId="50" fillId="0" borderId="0" xfId="0" applyNumberFormat="1" applyFont="1" applyProtection="1">
      <protection locked="0"/>
    </xf>
    <xf numFmtId="0" fontId="68" fillId="56" borderId="10" xfId="0" applyFont="1" applyFill="1" applyBorder="1" applyAlignment="1" applyProtection="1">
      <alignment horizontal="center" vertical="center" wrapText="1"/>
      <protection locked="0"/>
    </xf>
    <xf numFmtId="0" fontId="68" fillId="56" borderId="1" xfId="0" applyFont="1" applyFill="1" applyBorder="1" applyAlignment="1" applyProtection="1">
      <alignment horizontal="center" vertical="center" wrapText="1"/>
      <protection locked="0"/>
    </xf>
    <xf numFmtId="0" fontId="70" fillId="58" borderId="5" xfId="0" applyFont="1" applyFill="1" applyBorder="1"/>
    <xf numFmtId="0" fontId="70" fillId="58" borderId="7" xfId="0" applyFont="1" applyFill="1" applyBorder="1"/>
    <xf numFmtId="0" fontId="97" fillId="56" borderId="0" xfId="0" applyFont="1" applyFill="1" applyAlignment="1" applyProtection="1">
      <alignment horizontal="left" vertical="center" wrapText="1"/>
      <protection locked="0"/>
    </xf>
    <xf numFmtId="0" fontId="97" fillId="56" borderId="10" xfId="0" applyFont="1" applyFill="1" applyBorder="1" applyAlignment="1" applyProtection="1">
      <alignment horizontal="center" vertical="center" wrapText="1"/>
      <protection locked="0"/>
    </xf>
    <xf numFmtId="0" fontId="97" fillId="56" borderId="1" xfId="0" applyFont="1" applyFill="1" applyBorder="1" applyAlignment="1" applyProtection="1">
      <alignment horizontal="center" vertical="center" wrapText="1"/>
      <protection locked="0"/>
    </xf>
    <xf numFmtId="0" fontId="97" fillId="56" borderId="2" xfId="0" applyFont="1" applyFill="1" applyBorder="1" applyAlignment="1" applyProtection="1">
      <alignment horizontal="center" vertical="center" wrapText="1"/>
      <protection locked="0"/>
    </xf>
    <xf numFmtId="0" fontId="97" fillId="56" borderId="6" xfId="0" applyFont="1" applyFill="1" applyBorder="1" applyAlignment="1" applyProtection="1">
      <alignment horizontal="center" vertical="center" wrapText="1"/>
      <protection locked="0"/>
    </xf>
    <xf numFmtId="0" fontId="97" fillId="56" borderId="3" xfId="0" applyFont="1" applyFill="1" applyBorder="1" applyAlignment="1" applyProtection="1">
      <alignment horizontal="center" vertical="center" wrapText="1"/>
      <protection locked="0"/>
    </xf>
    <xf numFmtId="0" fontId="85" fillId="56" borderId="10" xfId="0" applyFont="1" applyFill="1" applyBorder="1" applyAlignment="1">
      <alignment horizontal="center" vertical="center" wrapText="1"/>
    </xf>
    <xf numFmtId="0" fontId="69" fillId="58" borderId="8" xfId="0" applyFont="1" applyFill="1" applyBorder="1" applyAlignment="1">
      <alignment horizontal="center" vertical="center"/>
    </xf>
    <xf numFmtId="0" fontId="69" fillId="58" borderId="9" xfId="0" applyFont="1" applyFill="1" applyBorder="1" applyAlignment="1">
      <alignment horizontal="center" vertical="center"/>
    </xf>
    <xf numFmtId="0" fontId="69" fillId="58" borderId="38" xfId="0" applyFont="1" applyFill="1" applyBorder="1" applyAlignment="1">
      <alignment horizontal="center" vertical="center"/>
    </xf>
    <xf numFmtId="0" fontId="69" fillId="58" borderId="4" xfId="0" applyFont="1" applyFill="1" applyBorder="1" applyAlignment="1">
      <alignment horizontal="center" vertical="center"/>
    </xf>
    <xf numFmtId="0" fontId="69" fillId="58" borderId="43" xfId="0" applyFont="1" applyFill="1" applyBorder="1" applyAlignment="1">
      <alignment horizontal="center" vertical="center"/>
    </xf>
    <xf numFmtId="0" fontId="69" fillId="0" borderId="0" xfId="0" applyFont="1" applyProtection="1">
      <protection locked="0"/>
    </xf>
    <xf numFmtId="0" fontId="50" fillId="0" borderId="0" xfId="0" applyFont="1" applyAlignment="1" applyProtection="1">
      <alignment wrapText="1"/>
      <protection locked="0"/>
    </xf>
    <xf numFmtId="0" fontId="68" fillId="56" borderId="38" xfId="0" applyFont="1" applyFill="1" applyBorder="1" applyAlignment="1">
      <alignment horizontal="center" vertical="center" wrapText="1"/>
    </xf>
    <xf numFmtId="0" fontId="68" fillId="56" borderId="42" xfId="0" applyFont="1" applyFill="1" applyBorder="1" applyAlignment="1">
      <alignment horizontal="center" vertical="center" wrapText="1"/>
    </xf>
    <xf numFmtId="170" fontId="69" fillId="58" borderId="38" xfId="0" applyNumberFormat="1" applyFont="1" applyFill="1" applyBorder="1" applyAlignment="1">
      <alignment horizontal="center"/>
    </xf>
    <xf numFmtId="170" fontId="69" fillId="58" borderId="8" xfId="0" applyNumberFormat="1" applyFont="1" applyFill="1" applyBorder="1" applyAlignment="1">
      <alignment horizontal="center"/>
    </xf>
    <xf numFmtId="170" fontId="69" fillId="58" borderId="9" xfId="0" applyNumberFormat="1" applyFont="1" applyFill="1" applyBorder="1" applyAlignment="1">
      <alignment horizontal="center"/>
    </xf>
    <xf numFmtId="0" fontId="85" fillId="56" borderId="42" xfId="0" applyFont="1" applyFill="1" applyBorder="1" applyAlignment="1">
      <alignment horizontal="center" vertical="center" wrapText="1"/>
    </xf>
    <xf numFmtId="0" fontId="85" fillId="56" borderId="38" xfId="0" applyFont="1" applyFill="1" applyBorder="1" applyAlignment="1">
      <alignment horizontal="center" vertical="center" wrapText="1"/>
    </xf>
    <xf numFmtId="0" fontId="103" fillId="0" borderId="0" xfId="0" applyFont="1" applyProtection="1">
      <protection locked="0"/>
    </xf>
    <xf numFmtId="0" fontId="50" fillId="0" borderId="4" xfId="0" applyFont="1" applyBorder="1" applyProtection="1">
      <protection locked="0"/>
    </xf>
    <xf numFmtId="175" fontId="50" fillId="0" borderId="0" xfId="0" applyNumberFormat="1" applyFont="1" applyProtection="1">
      <protection locked="0"/>
    </xf>
    <xf numFmtId="0" fontId="70" fillId="58" borderId="37" xfId="0" applyFont="1" applyFill="1" applyBorder="1"/>
    <xf numFmtId="0" fontId="78" fillId="0" borderId="0" xfId="0" applyFont="1" applyAlignment="1">
      <alignment horizontal="left" vertical="top"/>
    </xf>
    <xf numFmtId="0" fontId="85" fillId="56" borderId="0" xfId="0" applyFont="1" applyFill="1" applyAlignment="1">
      <alignment horizontal="center" vertical="center" wrapText="1"/>
    </xf>
    <xf numFmtId="0" fontId="85" fillId="61" borderId="0" xfId="0" applyFont="1" applyFill="1" applyAlignment="1">
      <alignment horizontal="center" vertical="center" wrapText="1"/>
    </xf>
    <xf numFmtId="0" fontId="85" fillId="61" borderId="0" xfId="0" applyFont="1" applyFill="1" applyAlignment="1">
      <alignment horizontal="center" vertical="center"/>
    </xf>
    <xf numFmtId="4" fontId="55" fillId="0" borderId="10" xfId="0" applyNumberFormat="1" applyFont="1" applyBorder="1" applyAlignment="1">
      <alignment horizontal="center" vertical="center" wrapText="1"/>
    </xf>
    <xf numFmtId="4" fontId="63" fillId="0" borderId="10" xfId="0" applyNumberFormat="1" applyFont="1" applyBorder="1" applyAlignment="1">
      <alignment horizontal="center" vertical="center" wrapText="1"/>
    </xf>
    <xf numFmtId="0" fontId="85" fillId="56" borderId="3" xfId="0" applyFont="1" applyFill="1" applyBorder="1" applyAlignment="1">
      <alignment horizontal="center" vertical="top" textRotation="180" wrapText="1"/>
    </xf>
    <xf numFmtId="0" fontId="105" fillId="0" borderId="0" xfId="0" applyFont="1" applyProtection="1">
      <protection locked="0"/>
    </xf>
    <xf numFmtId="0" fontId="104" fillId="0" borderId="0" xfId="0" applyFont="1" applyProtection="1">
      <protection locked="0"/>
    </xf>
    <xf numFmtId="170" fontId="69" fillId="58" borderId="4" xfId="0" applyNumberFormat="1" applyFont="1" applyFill="1" applyBorder="1" applyAlignment="1">
      <alignment horizontal="center"/>
    </xf>
    <xf numFmtId="170" fontId="69" fillId="58" borderId="43" xfId="0" applyNumberFormat="1" applyFont="1" applyFill="1" applyBorder="1" applyAlignment="1">
      <alignment horizontal="center"/>
    </xf>
    <xf numFmtId="170" fontId="69" fillId="58" borderId="0" xfId="0" applyNumberFormat="1" applyFont="1" applyFill="1" applyAlignment="1">
      <alignment horizontal="center"/>
    </xf>
    <xf numFmtId="2" fontId="56" fillId="0" borderId="42" xfId="0" applyNumberFormat="1" applyFont="1" applyBorder="1"/>
    <xf numFmtId="2" fontId="56" fillId="0" borderId="0" xfId="0" applyNumberFormat="1" applyFont="1" applyProtection="1">
      <protection locked="0"/>
    </xf>
    <xf numFmtId="4" fontId="56" fillId="0" borderId="6" xfId="0" applyNumberFormat="1" applyFont="1" applyBorder="1" applyAlignment="1">
      <alignment horizontal="center" vertical="center"/>
    </xf>
    <xf numFmtId="4" fontId="56" fillId="0" borderId="42" xfId="0" applyNumberFormat="1" applyFont="1" applyBorder="1" applyAlignment="1">
      <alignment horizontal="center" vertical="center"/>
    </xf>
    <xf numFmtId="40" fontId="77" fillId="0" borderId="0" xfId="0" applyNumberFormat="1" applyFont="1" applyProtection="1">
      <protection locked="0"/>
    </xf>
    <xf numFmtId="3" fontId="57" fillId="0" borderId="10" xfId="0" applyNumberFormat="1" applyFont="1" applyBorder="1" applyAlignment="1">
      <alignment horizontal="right" indent="1"/>
    </xf>
    <xf numFmtId="3" fontId="57" fillId="0" borderId="6" xfId="0" applyNumberFormat="1" applyFont="1" applyBorder="1" applyAlignment="1">
      <alignment horizontal="right" indent="1"/>
    </xf>
    <xf numFmtId="3" fontId="56" fillId="0" borderId="6" xfId="0" applyNumberFormat="1" applyFont="1" applyBorder="1" applyAlignment="1">
      <alignment horizontal="right" indent="1"/>
    </xf>
    <xf numFmtId="4" fontId="56" fillId="0" borderId="6" xfId="0" applyNumberFormat="1" applyFont="1" applyBorder="1" applyAlignment="1">
      <alignment horizontal="right" indent="1"/>
    </xf>
    <xf numFmtId="4" fontId="106" fillId="0" borderId="10" xfId="0" applyNumberFormat="1" applyFont="1" applyBorder="1" applyAlignment="1">
      <alignment horizontal="right" indent="1"/>
    </xf>
    <xf numFmtId="4" fontId="5" fillId="0" borderId="10" xfId="0" applyNumberFormat="1" applyFont="1" applyBorder="1" applyAlignment="1">
      <alignment horizontal="right" indent="1"/>
    </xf>
    <xf numFmtId="4" fontId="106" fillId="0" borderId="6" xfId="0" applyNumberFormat="1" applyFont="1" applyBorder="1" applyAlignment="1">
      <alignment horizontal="right" indent="1"/>
    </xf>
    <xf numFmtId="4" fontId="5" fillId="0" borderId="6" xfId="0" applyNumberFormat="1" applyFont="1" applyBorder="1" applyAlignment="1">
      <alignment horizontal="right" indent="1"/>
    </xf>
    <xf numFmtId="4" fontId="5" fillId="0" borderId="42" xfId="0" applyNumberFormat="1" applyFont="1" applyBorder="1" applyAlignment="1">
      <alignment horizontal="right" indent="1"/>
    </xf>
    <xf numFmtId="3" fontId="106" fillId="0" borderId="10" xfId="0" applyNumberFormat="1" applyFont="1" applyBorder="1" applyAlignment="1">
      <alignment horizontal="center"/>
    </xf>
    <xf numFmtId="3" fontId="5" fillId="0" borderId="10" xfId="0" applyNumberFormat="1" applyFont="1" applyBorder="1" applyAlignment="1">
      <alignment horizontal="center"/>
    </xf>
    <xf numFmtId="3" fontId="106" fillId="0" borderId="6" xfId="0" applyNumberFormat="1" applyFont="1" applyBorder="1" applyAlignment="1">
      <alignment horizontal="center"/>
    </xf>
    <xf numFmtId="3" fontId="5" fillId="0" borderId="6" xfId="0" applyNumberFormat="1" applyFont="1" applyBorder="1" applyAlignment="1">
      <alignment horizontal="center"/>
    </xf>
    <xf numFmtId="3" fontId="5" fillId="0" borderId="5" xfId="0" applyNumberFormat="1" applyFont="1" applyBorder="1" applyAlignment="1">
      <alignment horizontal="center"/>
    </xf>
    <xf numFmtId="3" fontId="5" fillId="0" borderId="9" xfId="0" applyNumberFormat="1" applyFont="1" applyBorder="1" applyAlignment="1">
      <alignment horizontal="center"/>
    </xf>
    <xf numFmtId="3" fontId="5" fillId="0" borderId="42" xfId="0" applyNumberFormat="1" applyFont="1" applyBorder="1" applyAlignment="1">
      <alignment horizontal="center"/>
    </xf>
    <xf numFmtId="4" fontId="5" fillId="0" borderId="43" xfId="0" applyNumberFormat="1" applyFont="1" applyBorder="1" applyAlignment="1">
      <alignment horizontal="right" indent="1"/>
    </xf>
    <xf numFmtId="4" fontId="5" fillId="0" borderId="38" xfId="0" applyNumberFormat="1" applyFont="1" applyBorder="1" applyAlignment="1">
      <alignment horizontal="right" indent="1"/>
    </xf>
    <xf numFmtId="2" fontId="103" fillId="0" borderId="0" xfId="0" applyNumberFormat="1" applyFont="1" applyProtection="1">
      <protection locked="0"/>
    </xf>
    <xf numFmtId="2" fontId="103" fillId="0" borderId="10" xfId="0" applyNumberFormat="1" applyFont="1" applyBorder="1" applyAlignment="1">
      <alignment horizontal="center"/>
    </xf>
    <xf numFmtId="2" fontId="103" fillId="0" borderId="6" xfId="0" applyNumberFormat="1" applyFont="1" applyBorder="1" applyAlignment="1">
      <alignment horizontal="center"/>
    </xf>
    <xf numFmtId="2" fontId="50" fillId="0" borderId="6" xfId="0" applyNumberFormat="1" applyFont="1" applyBorder="1" applyAlignment="1">
      <alignment horizontal="center"/>
    </xf>
    <xf numFmtId="165" fontId="50" fillId="0" borderId="0" xfId="1" applyNumberFormat="1" applyFont="1" applyAlignment="1" applyProtection="1">
      <alignment horizontal="right"/>
      <protection locked="0"/>
    </xf>
    <xf numFmtId="0" fontId="50" fillId="0" borderId="43" xfId="0" applyFont="1" applyBorder="1" applyProtection="1">
      <protection locked="0"/>
    </xf>
    <xf numFmtId="2" fontId="50" fillId="0" borderId="43" xfId="0" applyNumberFormat="1" applyFont="1" applyBorder="1" applyProtection="1">
      <protection locked="0"/>
    </xf>
    <xf numFmtId="2" fontId="103" fillId="0" borderId="42" xfId="0" applyNumberFormat="1" applyFont="1" applyBorder="1" applyAlignment="1">
      <alignment horizontal="center"/>
    </xf>
    <xf numFmtId="2" fontId="50" fillId="0" borderId="10" xfId="0" applyNumberFormat="1" applyFont="1" applyBorder="1" applyAlignment="1">
      <alignment horizontal="center"/>
    </xf>
    <xf numFmtId="168" fontId="66" fillId="0" borderId="0" xfId="0" applyNumberFormat="1" applyFont="1"/>
    <xf numFmtId="165" fontId="107" fillId="0" borderId="0" xfId="7" applyFont="1" applyAlignment="1" applyProtection="1">
      <alignment horizontal="right"/>
      <protection locked="0"/>
    </xf>
    <xf numFmtId="165" fontId="107" fillId="0" borderId="0" xfId="0" applyNumberFormat="1" applyFont="1" applyAlignment="1" applyProtection="1">
      <alignment horizontal="right"/>
      <protection locked="0"/>
    </xf>
    <xf numFmtId="4" fontId="50" fillId="0" borderId="10" xfId="0" applyNumberFormat="1" applyFont="1" applyBorder="1" applyAlignment="1">
      <alignment horizontal="right" vertical="center" indent="1"/>
    </xf>
    <xf numFmtId="169" fontId="7" fillId="0" borderId="0" xfId="0" applyNumberFormat="1" applyFont="1"/>
    <xf numFmtId="169" fontId="57" fillId="0" borderId="10" xfId="0" applyNumberFormat="1" applyFont="1" applyBorder="1"/>
    <xf numFmtId="169" fontId="57" fillId="0" borderId="6" xfId="0" applyNumberFormat="1" applyFont="1" applyBorder="1"/>
    <xf numFmtId="168" fontId="57" fillId="0" borderId="10" xfId="0" applyNumberFormat="1" applyFont="1" applyBorder="1" applyAlignment="1">
      <alignment horizontal="center"/>
    </xf>
    <xf numFmtId="168" fontId="57" fillId="0" borderId="6" xfId="0" applyNumberFormat="1" applyFont="1" applyBorder="1" applyAlignment="1">
      <alignment horizontal="center"/>
    </xf>
    <xf numFmtId="169" fontId="57" fillId="0" borderId="42" xfId="0" applyNumberFormat="1" applyFont="1" applyBorder="1"/>
    <xf numFmtId="2" fontId="50" fillId="0" borderId="42" xfId="0" applyNumberFormat="1" applyFont="1" applyBorder="1" applyAlignment="1">
      <alignment horizontal="center"/>
    </xf>
    <xf numFmtId="0" fontId="55" fillId="0" borderId="0" xfId="0" applyFont="1" applyAlignment="1">
      <alignment horizontal="center" vertical="center" wrapText="1"/>
    </xf>
    <xf numFmtId="0" fontId="50" fillId="0" borderId="0" xfId="0" applyFont="1" applyAlignment="1">
      <alignment horizontal="center"/>
    </xf>
    <xf numFmtId="169" fontId="56" fillId="0" borderId="6" xfId="0" applyNumberFormat="1" applyFont="1" applyBorder="1"/>
    <xf numFmtId="2" fontId="56" fillId="0" borderId="8" xfId="0" applyNumberFormat="1" applyFont="1" applyBorder="1" applyAlignment="1">
      <alignment horizontal="center"/>
    </xf>
    <xf numFmtId="0" fontId="72" fillId="0" borderId="0" xfId="0" applyFont="1" applyAlignment="1" applyProtection="1">
      <alignment vertical="center"/>
      <protection locked="0"/>
    </xf>
    <xf numFmtId="168" fontId="57" fillId="0" borderId="42" xfId="0" applyNumberFormat="1" applyFont="1" applyBorder="1" applyAlignment="1">
      <alignment horizontal="center"/>
    </xf>
    <xf numFmtId="0" fontId="100" fillId="0" borderId="0" xfId="0" applyFont="1" applyAlignment="1">
      <alignment horizontal="left"/>
    </xf>
    <xf numFmtId="0" fontId="0" fillId="0" borderId="0" xfId="0" applyAlignment="1">
      <alignment horizontal="left"/>
    </xf>
    <xf numFmtId="15" fontId="48" fillId="0" borderId="0" xfId="0" applyNumberFormat="1" applyFont="1" applyProtection="1">
      <protection locked="0"/>
    </xf>
    <xf numFmtId="0" fontId="70" fillId="58" borderId="43" xfId="0" applyFont="1" applyFill="1" applyBorder="1" applyAlignment="1">
      <alignment horizontal="center"/>
    </xf>
    <xf numFmtId="168" fontId="56" fillId="0" borderId="10" xfId="0" applyNumberFormat="1" applyFont="1" applyBorder="1" applyAlignment="1">
      <alignment horizontal="center"/>
    </xf>
    <xf numFmtId="168" fontId="54" fillId="0" borderId="7" xfId="0" applyNumberFormat="1" applyFont="1" applyBorder="1" applyAlignment="1">
      <alignment horizontal="center"/>
    </xf>
    <xf numFmtId="0" fontId="70" fillId="58" borderId="4" xfId="0" applyFont="1" applyFill="1" applyBorder="1"/>
    <xf numFmtId="2" fontId="54" fillId="0" borderId="10" xfId="0" applyNumberFormat="1" applyFont="1" applyBorder="1" applyAlignment="1">
      <alignment horizontal="right" indent="1"/>
    </xf>
    <xf numFmtId="2" fontId="54" fillId="0" borderId="6" xfId="0" applyNumberFormat="1" applyFont="1" applyBorder="1" applyAlignment="1">
      <alignment horizontal="right" indent="1"/>
    </xf>
    <xf numFmtId="4" fontId="54" fillId="0" borderId="7" xfId="0" applyNumberFormat="1" applyFont="1" applyBorder="1" applyAlignment="1">
      <alignment horizontal="right" indent="1"/>
    </xf>
    <xf numFmtId="4" fontId="54" fillId="0" borderId="5" xfId="0" applyNumberFormat="1" applyFont="1" applyBorder="1" applyAlignment="1">
      <alignment horizontal="right" indent="1"/>
    </xf>
    <xf numFmtId="0" fontId="70" fillId="0" borderId="0" xfId="0" applyFont="1" applyAlignment="1">
      <alignment horizontal="center"/>
    </xf>
    <xf numFmtId="170" fontId="69" fillId="0" borderId="0" xfId="0" applyNumberFormat="1" applyFont="1" applyAlignment="1">
      <alignment horizontal="center"/>
    </xf>
    <xf numFmtId="169" fontId="56" fillId="0" borderId="42" xfId="0" applyNumberFormat="1" applyFont="1" applyBorder="1" applyAlignment="1">
      <alignment horizontal="center"/>
    </xf>
    <xf numFmtId="171" fontId="56" fillId="0" borderId="10" xfId="0" applyNumberFormat="1" applyFont="1" applyBorder="1" applyAlignment="1">
      <alignment horizontal="right" indent="1"/>
    </xf>
    <xf numFmtId="40" fontId="56" fillId="0" borderId="42" xfId="0" applyNumberFormat="1" applyFont="1" applyBorder="1" applyAlignment="1">
      <alignment horizontal="center"/>
    </xf>
    <xf numFmtId="40" fontId="56" fillId="0" borderId="10" xfId="0" applyNumberFormat="1" applyFont="1" applyBorder="1" applyAlignment="1">
      <alignment horizontal="center"/>
    </xf>
    <xf numFmtId="166" fontId="50" fillId="0" borderId="0" xfId="0" applyNumberFormat="1" applyFont="1" applyAlignment="1" applyProtection="1">
      <alignment vertical="center"/>
      <protection locked="0"/>
    </xf>
    <xf numFmtId="166" fontId="50" fillId="0" borderId="0" xfId="0" applyNumberFormat="1" applyFont="1" applyProtection="1">
      <protection locked="0"/>
    </xf>
    <xf numFmtId="0" fontId="98" fillId="0" borderId="0" xfId="0" applyFont="1" applyProtection="1">
      <protection locked="0"/>
    </xf>
    <xf numFmtId="2" fontId="48" fillId="0" borderId="0" xfId="0" applyNumberFormat="1" applyFont="1" applyProtection="1">
      <protection locked="0"/>
    </xf>
    <xf numFmtId="0" fontId="70" fillId="58" borderId="7" xfId="0" applyFont="1" applyFill="1" applyBorder="1" applyAlignment="1">
      <alignment vertical="top"/>
    </xf>
    <xf numFmtId="2" fontId="57" fillId="0" borderId="0" xfId="0" applyNumberFormat="1" applyFont="1"/>
    <xf numFmtId="166" fontId="109" fillId="0" borderId="0" xfId="0" applyNumberFormat="1" applyFont="1"/>
    <xf numFmtId="177" fontId="85" fillId="56" borderId="1" xfId="0" applyNumberFormat="1" applyFont="1" applyFill="1" applyBorder="1" applyAlignment="1">
      <alignment horizontal="center" vertical="center"/>
    </xf>
    <xf numFmtId="15" fontId="85" fillId="56" borderId="1" xfId="0" applyNumberFormat="1" applyFont="1" applyFill="1" applyBorder="1" applyAlignment="1">
      <alignment horizontal="center" vertical="center"/>
    </xf>
    <xf numFmtId="15" fontId="85" fillId="56" borderId="3" xfId="0" applyNumberFormat="1" applyFont="1" applyFill="1" applyBorder="1" applyAlignment="1">
      <alignment horizontal="center" vertical="center"/>
    </xf>
    <xf numFmtId="0" fontId="54" fillId="0" borderId="42" xfId="0" applyFont="1" applyBorder="1"/>
    <xf numFmtId="0" fontId="54" fillId="0" borderId="10" xfId="0" applyFont="1" applyBorder="1"/>
    <xf numFmtId="0" fontId="54" fillId="0" borderId="8" xfId="0" applyFont="1" applyBorder="1"/>
    <xf numFmtId="0" fontId="54" fillId="0" borderId="6" xfId="0" applyFont="1" applyBorder="1"/>
    <xf numFmtId="0" fontId="5" fillId="0" borderId="37" xfId="0" applyFont="1" applyBorder="1" applyAlignment="1">
      <alignment horizontal="center"/>
    </xf>
    <xf numFmtId="0" fontId="5" fillId="0" borderId="38" xfId="0" applyFont="1" applyBorder="1" applyAlignment="1">
      <alignment horizontal="center"/>
    </xf>
    <xf numFmtId="38" fontId="5" fillId="0" borderId="42" xfId="0" applyNumberFormat="1" applyFont="1" applyBorder="1" applyAlignment="1">
      <alignment horizontal="right" vertical="center"/>
    </xf>
    <xf numFmtId="0" fontId="5" fillId="0" borderId="42" xfId="0" applyFont="1" applyBorder="1" applyAlignment="1">
      <alignment horizontal="center" vertical="center" textRotation="180" wrapText="1"/>
    </xf>
    <xf numFmtId="0" fontId="5" fillId="0" borderId="42" xfId="0" applyFont="1" applyBorder="1" applyAlignment="1">
      <alignment horizontal="center" vertical="center" textRotation="180"/>
    </xf>
    <xf numFmtId="0" fontId="5" fillId="0" borderId="37" xfId="0" applyFont="1" applyBorder="1" applyAlignment="1">
      <alignment horizontal="center" vertical="center" textRotation="180" wrapText="1"/>
    </xf>
    <xf numFmtId="3" fontId="5" fillId="0" borderId="43" xfId="0" applyNumberFormat="1" applyFont="1" applyBorder="1" applyAlignment="1">
      <alignment horizontal="right"/>
    </xf>
    <xf numFmtId="3" fontId="5" fillId="0" borderId="42" xfId="0" applyNumberFormat="1" applyFont="1" applyBorder="1" applyAlignment="1">
      <alignment horizontal="right" vertical="center"/>
    </xf>
    <xf numFmtId="3" fontId="5" fillId="0" borderId="43" xfId="0" applyNumberFormat="1" applyFont="1" applyBorder="1" applyAlignment="1">
      <alignment horizontal="right" vertical="center"/>
    </xf>
    <xf numFmtId="3" fontId="5" fillId="0" borderId="42" xfId="0" applyNumberFormat="1" applyFont="1" applyBorder="1" applyAlignment="1">
      <alignment horizontal="right"/>
    </xf>
    <xf numFmtId="3" fontId="5" fillId="0" borderId="37" xfId="0" applyNumberFormat="1" applyFont="1" applyBorder="1" applyAlignment="1">
      <alignment horizontal="right"/>
    </xf>
    <xf numFmtId="0" fontId="5" fillId="0" borderId="43" xfId="0" applyFont="1" applyBorder="1" applyAlignment="1">
      <alignment horizontal="center" vertical="center" textRotation="180" wrapText="1"/>
    </xf>
    <xf numFmtId="3" fontId="5" fillId="0" borderId="38" xfId="0" applyNumberFormat="1" applyFont="1" applyBorder="1" applyAlignment="1">
      <alignment horizontal="right"/>
    </xf>
    <xf numFmtId="0" fontId="68" fillId="57" borderId="42" xfId="0" applyFont="1" applyFill="1" applyBorder="1" applyAlignment="1">
      <alignment horizontal="center" vertical="center"/>
    </xf>
    <xf numFmtId="0" fontId="68" fillId="57" borderId="37" xfId="0" applyFont="1" applyFill="1" applyBorder="1" applyAlignment="1">
      <alignment horizontal="center" vertical="center"/>
    </xf>
    <xf numFmtId="0" fontId="85" fillId="56" borderId="42" xfId="0" applyFont="1" applyFill="1" applyBorder="1" applyAlignment="1">
      <alignment horizontal="center" vertical="center"/>
    </xf>
    <xf numFmtId="0" fontId="85" fillId="56" borderId="37" xfId="0" applyFont="1" applyFill="1" applyBorder="1" applyAlignment="1">
      <alignment horizontal="center" vertical="center" wrapText="1"/>
    </xf>
    <xf numFmtId="0" fontId="85" fillId="56" borderId="43" xfId="0" applyFont="1" applyFill="1" applyBorder="1" applyAlignment="1">
      <alignment horizontal="center" vertical="center" wrapText="1"/>
    </xf>
    <xf numFmtId="4" fontId="57" fillId="0" borderId="38" xfId="0" applyNumberFormat="1" applyFont="1" applyBorder="1" applyAlignment="1">
      <alignment horizontal="right" vertical="center" indent="1"/>
    </xf>
    <xf numFmtId="0" fontId="68" fillId="56" borderId="43" xfId="0" applyFont="1" applyFill="1" applyBorder="1" applyAlignment="1">
      <alignment horizontal="center" vertical="center" wrapText="1"/>
    </xf>
    <xf numFmtId="0" fontId="86" fillId="58" borderId="43" xfId="0" applyFont="1" applyFill="1" applyBorder="1" applyAlignment="1">
      <alignment horizontal="center"/>
    </xf>
    <xf numFmtId="172" fontId="54" fillId="0" borderId="42" xfId="0" applyNumberFormat="1" applyFont="1" applyBorder="1" applyAlignment="1">
      <alignment horizontal="right" indent="1"/>
    </xf>
    <xf numFmtId="4" fontId="54" fillId="0" borderId="42" xfId="0" quotePrefix="1" applyNumberFormat="1" applyFont="1" applyBorder="1" applyAlignment="1">
      <alignment horizontal="right" indent="1"/>
    </xf>
    <xf numFmtId="166" fontId="54" fillId="0" borderId="42" xfId="0" applyNumberFormat="1" applyFont="1" applyBorder="1" applyAlignment="1">
      <alignment horizontal="center"/>
    </xf>
    <xf numFmtId="166" fontId="54" fillId="0" borderId="43" xfId="0" applyNumberFormat="1" applyFont="1" applyBorder="1" applyAlignment="1">
      <alignment horizontal="center"/>
    </xf>
    <xf numFmtId="166" fontId="54" fillId="0" borderId="38" xfId="0" applyNumberFormat="1" applyFont="1" applyBorder="1" applyAlignment="1">
      <alignment horizontal="center" vertical="center"/>
    </xf>
    <xf numFmtId="166" fontId="54" fillId="0" borderId="43" xfId="0" applyNumberFormat="1" applyFont="1" applyBorder="1" applyAlignment="1">
      <alignment horizontal="center" vertical="center"/>
    </xf>
    <xf numFmtId="0" fontId="5" fillId="0" borderId="43" xfId="0" applyFont="1" applyBorder="1" applyAlignment="1">
      <alignment horizontal="center"/>
    </xf>
    <xf numFmtId="40" fontId="5" fillId="0" borderId="42" xfId="0" applyNumberFormat="1" applyFont="1" applyBorder="1" applyAlignment="1">
      <alignment horizontal="right"/>
    </xf>
    <xf numFmtId="40" fontId="5" fillId="0" borderId="43" xfId="0" applyNumberFormat="1" applyFont="1" applyBorder="1" applyAlignment="1">
      <alignment horizontal="right"/>
    </xf>
    <xf numFmtId="166" fontId="54" fillId="0" borderId="42" xfId="0" applyNumberFormat="1" applyFont="1" applyBorder="1"/>
    <xf numFmtId="166" fontId="54" fillId="0" borderId="43" xfId="0" applyNumberFormat="1" applyFont="1" applyBorder="1"/>
    <xf numFmtId="4" fontId="54" fillId="0" borderId="42" xfId="0" applyNumberFormat="1" applyFont="1" applyBorder="1" applyAlignment="1">
      <alignment vertical="center"/>
    </xf>
    <xf numFmtId="3" fontId="5" fillId="0" borderId="42" xfId="0" applyNumberFormat="1" applyFont="1" applyBorder="1" applyAlignment="1">
      <alignment horizontal="right" indent="1"/>
    </xf>
    <xf numFmtId="3" fontId="5" fillId="0" borderId="42" xfId="0" applyNumberFormat="1" applyFont="1" applyBorder="1" applyAlignment="1">
      <alignment horizontal="right" vertical="center" indent="1"/>
    </xf>
    <xf numFmtId="0" fontId="74" fillId="58" borderId="7" xfId="0" applyFont="1" applyFill="1" applyBorder="1" applyAlignment="1">
      <alignment horizontal="center"/>
    </xf>
    <xf numFmtId="179" fontId="109" fillId="0" borderId="0" xfId="0" applyNumberFormat="1" applyFont="1"/>
    <xf numFmtId="168" fontId="110" fillId="0" borderId="6" xfId="0" applyNumberFormat="1" applyFont="1" applyBorder="1" applyAlignment="1">
      <alignment horizontal="center"/>
    </xf>
    <xf numFmtId="0" fontId="7" fillId="0" borderId="0" xfId="0" applyFont="1"/>
    <xf numFmtId="15" fontId="85" fillId="56" borderId="1" xfId="0" applyNumberFormat="1" applyFont="1" applyFill="1" applyBorder="1" applyAlignment="1" applyProtection="1">
      <alignment horizontal="center" vertical="center"/>
      <protection locked="0"/>
    </xf>
    <xf numFmtId="0" fontId="54" fillId="0" borderId="10" xfId="0" applyFont="1" applyBorder="1" applyProtection="1">
      <protection locked="0"/>
    </xf>
    <xf numFmtId="2" fontId="54" fillId="0" borderId="10" xfId="0" applyNumberFormat="1" applyFont="1" applyBorder="1" applyProtection="1">
      <protection locked="0"/>
    </xf>
    <xf numFmtId="2" fontId="54" fillId="0" borderId="6" xfId="0" applyNumberFormat="1" applyFont="1" applyBorder="1" applyProtection="1">
      <protection locked="0"/>
    </xf>
    <xf numFmtId="168" fontId="110" fillId="0" borderId="10" xfId="0" applyNumberFormat="1" applyFont="1" applyBorder="1" applyAlignment="1">
      <alignment horizontal="center"/>
    </xf>
    <xf numFmtId="168" fontId="111" fillId="0" borderId="10" xfId="0" applyNumberFormat="1" applyFont="1" applyBorder="1" applyAlignment="1">
      <alignment horizontal="center"/>
    </xf>
    <xf numFmtId="0" fontId="111" fillId="0" borderId="10" xfId="0" applyFont="1" applyBorder="1" applyAlignment="1">
      <alignment horizontal="center"/>
    </xf>
    <xf numFmtId="168" fontId="111" fillId="0" borderId="6" xfId="0" applyNumberFormat="1" applyFont="1" applyBorder="1" applyAlignment="1">
      <alignment horizontal="center"/>
    </xf>
    <xf numFmtId="168" fontId="112" fillId="0" borderId="10" xfId="0" applyNumberFormat="1" applyFont="1" applyBorder="1" applyAlignment="1">
      <alignment horizontal="center"/>
    </xf>
    <xf numFmtId="168" fontId="112" fillId="0" borderId="10" xfId="0" applyNumberFormat="1" applyFont="1" applyBorder="1" applyAlignment="1">
      <alignment horizontal="center" vertical="center"/>
    </xf>
    <xf numFmtId="168" fontId="112" fillId="0" borderId="6" xfId="0" applyNumberFormat="1" applyFont="1" applyBorder="1" applyAlignment="1">
      <alignment horizontal="center"/>
    </xf>
    <xf numFmtId="168" fontId="112" fillId="0" borderId="6" xfId="0" applyNumberFormat="1" applyFont="1" applyBorder="1" applyAlignment="1">
      <alignment horizontal="center" vertical="center"/>
    </xf>
    <xf numFmtId="168" fontId="110" fillId="0" borderId="10" xfId="0" applyNumberFormat="1" applyFont="1" applyBorder="1" applyAlignment="1">
      <alignment horizontal="center" vertical="center"/>
    </xf>
    <xf numFmtId="168" fontId="110" fillId="0" borderId="6" xfId="0" applyNumberFormat="1" applyFont="1" applyBorder="1" applyAlignment="1">
      <alignment horizontal="center" vertical="center"/>
    </xf>
    <xf numFmtId="0" fontId="67" fillId="56" borderId="0" xfId="0" applyFont="1" applyFill="1" applyAlignment="1">
      <alignment horizontal="center" vertical="center"/>
    </xf>
    <xf numFmtId="0" fontId="55" fillId="56" borderId="0" xfId="0" applyFont="1" applyFill="1" applyAlignment="1">
      <alignment horizontal="center" vertical="center"/>
    </xf>
    <xf numFmtId="0" fontId="83" fillId="56" borderId="2" xfId="0" applyFont="1" applyFill="1" applyBorder="1" applyAlignment="1">
      <alignment horizontal="center" vertical="top" wrapText="1"/>
    </xf>
    <xf numFmtId="0" fontId="83" fillId="56" borderId="3" xfId="0" applyFont="1" applyFill="1" applyBorder="1" applyAlignment="1">
      <alignment horizontal="center" vertical="top" wrapText="1"/>
    </xf>
    <xf numFmtId="0" fontId="72" fillId="0" borderId="0" xfId="0" applyFont="1" applyAlignment="1" applyProtection="1">
      <alignment horizontal="left"/>
      <protection locked="0"/>
    </xf>
    <xf numFmtId="0" fontId="85" fillId="56" borderId="0" xfId="0" applyFont="1" applyFill="1" applyAlignment="1">
      <alignment horizontal="center" vertical="center" wrapText="1"/>
    </xf>
    <xf numFmtId="0" fontId="49" fillId="0" borderId="0" xfId="0" applyFont="1" applyAlignment="1" applyProtection="1">
      <alignment horizontal="right"/>
      <protection locked="0"/>
    </xf>
    <xf numFmtId="0" fontId="85" fillId="56" borderId="0" xfId="0" applyFont="1" applyFill="1" applyAlignment="1">
      <alignment horizontal="left" vertical="center" wrapText="1"/>
    </xf>
    <xf numFmtId="0" fontId="6"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left"/>
    </xf>
    <xf numFmtId="0" fontId="5" fillId="0" borderId="38" xfId="0" applyFont="1" applyBorder="1" applyAlignment="1">
      <alignment horizontal="left"/>
    </xf>
    <xf numFmtId="0" fontId="5" fillId="0" borderId="1" xfId="0" applyFont="1" applyBorder="1" applyAlignment="1">
      <alignment horizontal="center" vertical="center" textRotation="180" wrapText="1"/>
    </xf>
    <xf numFmtId="0" fontId="5" fillId="0" borderId="42" xfId="0" applyFont="1" applyBorder="1" applyAlignment="1">
      <alignment horizontal="center" vertical="center" textRotation="180" wrapText="1"/>
    </xf>
    <xf numFmtId="0" fontId="6" fillId="0" borderId="0" xfId="0" applyFont="1" applyAlignment="1">
      <alignment horizontal="right" vertical="center"/>
    </xf>
    <xf numFmtId="0" fontId="5" fillId="0" borderId="37" xfId="0" applyFont="1" applyBorder="1" applyAlignment="1">
      <alignment horizontal="left"/>
    </xf>
    <xf numFmtId="0" fontId="5" fillId="0" borderId="1" xfId="0" applyFont="1" applyBorder="1" applyAlignment="1">
      <alignment horizontal="center" vertical="center" textRotation="180"/>
    </xf>
    <xf numFmtId="0" fontId="5" fillId="0" borderId="42" xfId="0" applyFont="1" applyBorder="1" applyAlignment="1">
      <alignment horizontal="center" vertical="center" textRotation="180"/>
    </xf>
    <xf numFmtId="0" fontId="5" fillId="0" borderId="10" xfId="0" applyFont="1" applyBorder="1" applyAlignment="1">
      <alignment horizontal="center" vertical="center" textRotation="180" wrapText="1"/>
    </xf>
    <xf numFmtId="0" fontId="5" fillId="0" borderId="6" xfId="0" applyFont="1" applyBorder="1" applyAlignment="1">
      <alignment horizontal="center" vertical="center" textRotation="180" wrapText="1"/>
    </xf>
    <xf numFmtId="0" fontId="68" fillId="56" borderId="37" xfId="0" applyFont="1" applyFill="1" applyBorder="1" applyAlignment="1">
      <alignment horizontal="center" vertical="center"/>
    </xf>
    <xf numFmtId="0" fontId="68" fillId="56" borderId="5" xfId="0" applyFont="1" applyFill="1" applyBorder="1" applyAlignment="1">
      <alignment horizontal="center" vertical="center"/>
    </xf>
    <xf numFmtId="0" fontId="68" fillId="56" borderId="10" xfId="0" applyFont="1" applyFill="1" applyBorder="1" applyAlignment="1">
      <alignment horizontal="center" vertical="center"/>
    </xf>
    <xf numFmtId="0" fontId="68" fillId="56" borderId="6" xfId="0" applyFont="1" applyFill="1" applyBorder="1" applyAlignment="1">
      <alignment horizontal="center" vertical="center"/>
    </xf>
    <xf numFmtId="0" fontId="68" fillId="56" borderId="38" xfId="0" applyFont="1" applyFill="1" applyBorder="1" applyAlignment="1">
      <alignment horizontal="center" vertical="center"/>
    </xf>
    <xf numFmtId="0" fontId="68" fillId="56" borderId="7" xfId="0" applyFont="1" applyFill="1" applyBorder="1" applyAlignment="1">
      <alignment horizontal="center" vertical="center"/>
    </xf>
    <xf numFmtId="0" fontId="68" fillId="56" borderId="8" xfId="0" applyFont="1" applyFill="1" applyBorder="1" applyAlignment="1">
      <alignment horizontal="center" vertical="center"/>
    </xf>
    <xf numFmtId="0" fontId="68" fillId="56" borderId="9" xfId="0" applyFont="1" applyFill="1" applyBorder="1" applyAlignment="1">
      <alignment horizontal="center" vertical="center"/>
    </xf>
    <xf numFmtId="0" fontId="68" fillId="56" borderId="42" xfId="0" applyFont="1" applyFill="1" applyBorder="1" applyAlignment="1">
      <alignment horizontal="center" vertical="center" wrapText="1"/>
    </xf>
    <xf numFmtId="0" fontId="68" fillId="56" borderId="10" xfId="0" applyFont="1" applyFill="1" applyBorder="1" applyAlignment="1">
      <alignment horizontal="center" vertical="center" wrapText="1"/>
    </xf>
    <xf numFmtId="0" fontId="68" fillId="56" borderId="6" xfId="0" applyFont="1" applyFill="1" applyBorder="1" applyAlignment="1">
      <alignment horizontal="center" vertical="center" wrapText="1"/>
    </xf>
    <xf numFmtId="0" fontId="68" fillId="56" borderId="37" xfId="0" applyFont="1" applyFill="1" applyBorder="1" applyAlignment="1">
      <alignment horizontal="right"/>
    </xf>
    <xf numFmtId="0" fontId="68" fillId="56" borderId="43" xfId="0" applyFont="1" applyFill="1" applyBorder="1" applyAlignment="1">
      <alignment horizontal="right"/>
    </xf>
    <xf numFmtId="0" fontId="68" fillId="56" borderId="38" xfId="0" applyFont="1" applyFill="1" applyBorder="1" applyAlignment="1">
      <alignment horizontal="right"/>
    </xf>
    <xf numFmtId="0" fontId="68" fillId="56" borderId="1" xfId="0" applyFont="1" applyFill="1" applyBorder="1" applyAlignment="1">
      <alignment horizontal="center" vertical="center" wrapText="1"/>
    </xf>
    <xf numFmtId="0" fontId="49" fillId="0" borderId="0" xfId="0" applyFont="1" applyAlignment="1" applyProtection="1">
      <alignment horizontal="right" vertical="center"/>
      <protection locked="0"/>
    </xf>
    <xf numFmtId="0" fontId="68" fillId="56" borderId="1" xfId="0" applyFont="1" applyFill="1" applyBorder="1" applyAlignment="1">
      <alignment horizontal="center" vertical="center"/>
    </xf>
    <xf numFmtId="0" fontId="68" fillId="56" borderId="3" xfId="0" applyFont="1" applyFill="1" applyBorder="1" applyAlignment="1">
      <alignment horizontal="center" vertical="center" wrapText="1"/>
    </xf>
    <xf numFmtId="0" fontId="68" fillId="56" borderId="39" xfId="0" applyFont="1" applyFill="1" applyBorder="1" applyAlignment="1">
      <alignment horizontal="left" vertical="center"/>
    </xf>
    <xf numFmtId="0" fontId="68" fillId="56" borderId="40" xfId="0" applyFont="1" applyFill="1" applyBorder="1" applyAlignment="1">
      <alignment horizontal="left" vertical="center"/>
    </xf>
    <xf numFmtId="0" fontId="68" fillId="56" borderId="41" xfId="0" applyFont="1" applyFill="1" applyBorder="1" applyAlignment="1">
      <alignment horizontal="left" vertical="center"/>
    </xf>
    <xf numFmtId="0" fontId="85" fillId="56" borderId="37" xfId="0" applyFont="1" applyFill="1" applyBorder="1" applyAlignment="1">
      <alignment horizontal="center" vertical="center"/>
    </xf>
    <xf numFmtId="0" fontId="85" fillId="56" borderId="38" xfId="0" applyFont="1" applyFill="1" applyBorder="1" applyAlignment="1">
      <alignment horizontal="center" vertical="center"/>
    </xf>
    <xf numFmtId="0" fontId="85" fillId="56" borderId="5" xfId="0" applyFont="1" applyFill="1" applyBorder="1" applyAlignment="1">
      <alignment horizontal="center" vertical="center"/>
    </xf>
    <xf numFmtId="0" fontId="85" fillId="56" borderId="9" xfId="0" applyFont="1" applyFill="1" applyBorder="1" applyAlignment="1">
      <alignment horizontal="center" vertical="center"/>
    </xf>
    <xf numFmtId="4" fontId="85" fillId="56" borderId="37" xfId="0" applyNumberFormat="1" applyFont="1" applyFill="1" applyBorder="1" applyAlignment="1">
      <alignment horizontal="center" vertical="center"/>
    </xf>
    <xf numFmtId="4" fontId="85" fillId="56" borderId="43" xfId="0" applyNumberFormat="1" applyFont="1" applyFill="1" applyBorder="1" applyAlignment="1">
      <alignment horizontal="center" vertical="center"/>
    </xf>
    <xf numFmtId="4" fontId="85" fillId="56" borderId="38" xfId="0" applyNumberFormat="1" applyFont="1" applyFill="1" applyBorder="1" applyAlignment="1">
      <alignment horizontal="center" vertical="center"/>
    </xf>
    <xf numFmtId="0" fontId="49" fillId="0" borderId="4" xfId="0" applyFont="1" applyBorder="1" applyAlignment="1" applyProtection="1">
      <alignment horizontal="right" vertical="center"/>
      <protection locked="0"/>
    </xf>
    <xf numFmtId="0" fontId="68" fillId="56" borderId="37" xfId="0" applyFont="1" applyFill="1" applyBorder="1" applyAlignment="1">
      <alignment horizontal="center" vertical="center" wrapText="1"/>
    </xf>
    <xf numFmtId="0" fontId="68" fillId="56" borderId="5" xfId="0" applyFont="1" applyFill="1" applyBorder="1" applyAlignment="1">
      <alignment horizontal="center" vertical="center" wrapText="1"/>
    </xf>
    <xf numFmtId="0" fontId="68" fillId="56" borderId="2" xfId="0" applyFont="1" applyFill="1" applyBorder="1" applyAlignment="1">
      <alignment horizontal="center" vertical="center" wrapText="1"/>
    </xf>
    <xf numFmtId="0" fontId="68" fillId="56" borderId="13" xfId="0" applyFont="1" applyFill="1" applyBorder="1" applyAlignment="1">
      <alignment horizontal="center" vertical="center" wrapText="1"/>
    </xf>
    <xf numFmtId="0" fontId="85" fillId="56" borderId="42" xfId="0" applyFont="1" applyFill="1" applyBorder="1" applyAlignment="1">
      <alignment horizontal="center" vertical="center" wrapText="1"/>
    </xf>
    <xf numFmtId="0" fontId="85" fillId="56" borderId="6" xfId="0" applyFont="1" applyFill="1" applyBorder="1" applyAlignment="1">
      <alignment horizontal="center" vertical="center" wrapText="1"/>
    </xf>
    <xf numFmtId="0" fontId="85" fillId="56" borderId="37" xfId="0" applyFont="1" applyFill="1" applyBorder="1" applyAlignment="1">
      <alignment horizontal="left" vertical="center" wrapText="1"/>
    </xf>
    <xf numFmtId="0" fontId="85" fillId="56" borderId="43" xfId="0" applyFont="1" applyFill="1" applyBorder="1" applyAlignment="1">
      <alignment horizontal="left" vertical="center" wrapText="1"/>
    </xf>
    <xf numFmtId="0" fontId="85" fillId="56" borderId="38" xfId="0" applyFont="1" applyFill="1" applyBorder="1" applyAlignment="1">
      <alignment horizontal="left" vertical="center" wrapText="1"/>
    </xf>
    <xf numFmtId="0" fontId="85" fillId="56" borderId="1" xfId="0" applyFont="1" applyFill="1" applyBorder="1" applyAlignment="1">
      <alignment horizontal="center" vertical="center"/>
    </xf>
    <xf numFmtId="0" fontId="85" fillId="56" borderId="42" xfId="0" applyFont="1" applyFill="1" applyBorder="1" applyAlignment="1">
      <alignment horizontal="center" vertical="center"/>
    </xf>
    <xf numFmtId="0" fontId="85" fillId="56" borderId="1" xfId="0" applyFont="1" applyFill="1" applyBorder="1" applyAlignment="1">
      <alignment horizontal="center" vertical="center" wrapText="1"/>
    </xf>
    <xf numFmtId="0" fontId="85" fillId="56" borderId="37" xfId="0" applyFont="1" applyFill="1" applyBorder="1" applyAlignment="1">
      <alignment horizontal="center" vertical="center" wrapText="1"/>
    </xf>
    <xf numFmtId="0" fontId="85" fillId="56" borderId="42" xfId="0" applyFont="1" applyFill="1" applyBorder="1" applyAlignment="1">
      <alignment horizontal="left" vertical="center"/>
    </xf>
    <xf numFmtId="0" fontId="85" fillId="56" borderId="1" xfId="0" applyFont="1" applyFill="1" applyBorder="1" applyAlignment="1">
      <alignment horizontal="left" vertical="center"/>
    </xf>
    <xf numFmtId="0" fontId="85" fillId="56" borderId="37" xfId="0" applyFont="1" applyFill="1" applyBorder="1" applyAlignment="1">
      <alignment horizontal="left" vertical="center"/>
    </xf>
    <xf numFmtId="0" fontId="85" fillId="56" borderId="43" xfId="0" applyFont="1" applyFill="1" applyBorder="1" applyAlignment="1">
      <alignment horizontal="left" vertical="center"/>
    </xf>
    <xf numFmtId="0" fontId="85" fillId="56" borderId="38" xfId="0" applyFont="1" applyFill="1" applyBorder="1" applyAlignment="1">
      <alignment horizontal="left" vertical="center"/>
    </xf>
    <xf numFmtId="0" fontId="68" fillId="56" borderId="1" xfId="0" applyFont="1" applyFill="1" applyBorder="1" applyAlignment="1">
      <alignment horizontal="center" vertical="center" textRotation="180" wrapText="1"/>
    </xf>
    <xf numFmtId="0" fontId="68" fillId="56" borderId="42" xfId="0" applyFont="1" applyFill="1" applyBorder="1" applyAlignment="1">
      <alignment horizontal="left" vertical="center"/>
    </xf>
    <xf numFmtId="0" fontId="68" fillId="56" borderId="1" xfId="0" applyFont="1" applyFill="1" applyBorder="1" applyAlignment="1">
      <alignment horizontal="left" vertical="center"/>
    </xf>
    <xf numFmtId="0" fontId="68" fillId="56" borderId="1" xfId="0" applyFont="1" applyFill="1" applyBorder="1" applyAlignment="1">
      <alignment horizontal="center" vertical="center" textRotation="180"/>
    </xf>
    <xf numFmtId="0" fontId="68" fillId="56" borderId="2" xfId="0" applyFont="1" applyFill="1" applyBorder="1" applyAlignment="1">
      <alignment horizontal="center" vertical="center" textRotation="180"/>
    </xf>
    <xf numFmtId="0" fontId="68" fillId="56" borderId="38" xfId="0" applyFont="1" applyFill="1" applyBorder="1" applyAlignment="1">
      <alignment horizontal="left" vertical="center"/>
    </xf>
    <xf numFmtId="0" fontId="68" fillId="56" borderId="10" xfId="0" applyFont="1" applyFill="1" applyBorder="1" applyAlignment="1">
      <alignment horizontal="center" vertical="center" textRotation="180" wrapText="1"/>
    </xf>
    <xf numFmtId="0" fontId="68" fillId="56" borderId="7" xfId="0" applyFont="1" applyFill="1" applyBorder="1" applyAlignment="1">
      <alignment horizontal="center" vertical="center" textRotation="180" wrapText="1"/>
    </xf>
    <xf numFmtId="0" fontId="68" fillId="56" borderId="5" xfId="0" applyFont="1" applyFill="1" applyBorder="1" applyAlignment="1">
      <alignment horizontal="center" vertical="center" textRotation="180" wrapText="1"/>
    </xf>
    <xf numFmtId="0" fontId="68" fillId="56" borderId="42" xfId="0" applyFont="1" applyFill="1" applyBorder="1" applyAlignment="1">
      <alignment horizontal="left" vertical="center" wrapText="1"/>
    </xf>
    <xf numFmtId="0" fontId="68" fillId="56" borderId="1" xfId="0" applyFont="1" applyFill="1" applyBorder="1" applyAlignment="1">
      <alignment horizontal="left" vertical="center" wrapText="1"/>
    </xf>
    <xf numFmtId="0" fontId="68" fillId="56" borderId="6" xfId="0" applyFont="1" applyFill="1" applyBorder="1" applyAlignment="1">
      <alignment horizontal="center" vertical="center" textRotation="180" wrapText="1"/>
    </xf>
    <xf numFmtId="0" fontId="68" fillId="56" borderId="3" xfId="0" applyFont="1" applyFill="1" applyBorder="1" applyAlignment="1">
      <alignment horizontal="center" vertical="center" textRotation="180" wrapText="1"/>
    </xf>
    <xf numFmtId="0" fontId="78" fillId="0" borderId="0" xfId="0" applyFont="1" applyAlignment="1" applyProtection="1">
      <alignment horizontal="left" vertical="center" wrapText="1"/>
      <protection locked="0"/>
    </xf>
    <xf numFmtId="0" fontId="85" fillId="56" borderId="2" xfId="0" applyFont="1" applyFill="1" applyBorder="1" applyAlignment="1">
      <alignment horizontal="center" vertical="center" wrapText="1"/>
    </xf>
    <xf numFmtId="0" fontId="85" fillId="56" borderId="13" xfId="0" applyFont="1" applyFill="1" applyBorder="1" applyAlignment="1">
      <alignment horizontal="center" vertical="center" wrapText="1"/>
    </xf>
    <xf numFmtId="0" fontId="85" fillId="56" borderId="3" xfId="0" applyFont="1" applyFill="1" applyBorder="1" applyAlignment="1">
      <alignment horizontal="center" vertical="center" wrapText="1"/>
    </xf>
    <xf numFmtId="0" fontId="85" fillId="56" borderId="37" xfId="0" applyFont="1" applyFill="1" applyBorder="1" applyAlignment="1">
      <alignment horizontal="center" vertical="center" textRotation="180" wrapText="1"/>
    </xf>
    <xf numFmtId="0" fontId="85" fillId="56" borderId="38" xfId="0" applyFont="1" applyFill="1" applyBorder="1" applyAlignment="1">
      <alignment horizontal="center" vertical="center" textRotation="180" wrapText="1"/>
    </xf>
    <xf numFmtId="0" fontId="85" fillId="56" borderId="5" xfId="0" applyFont="1" applyFill="1" applyBorder="1" applyAlignment="1">
      <alignment horizontal="center" vertical="center" textRotation="180" wrapText="1"/>
    </xf>
    <xf numFmtId="0" fontId="85" fillId="56" borderId="9" xfId="0" applyFont="1" applyFill="1" applyBorder="1" applyAlignment="1">
      <alignment horizontal="center" vertical="center" textRotation="180" wrapText="1"/>
    </xf>
    <xf numFmtId="0" fontId="68" fillId="56" borderId="15" xfId="0" applyFont="1" applyFill="1" applyBorder="1" applyAlignment="1">
      <alignment horizontal="center" vertical="center"/>
    </xf>
    <xf numFmtId="0" fontId="68" fillId="56" borderId="16" xfId="0" applyFont="1" applyFill="1" applyBorder="1" applyAlignment="1">
      <alignment horizontal="center" vertical="center"/>
    </xf>
    <xf numFmtId="0" fontId="68" fillId="56" borderId="17" xfId="0" applyFont="1" applyFill="1" applyBorder="1" applyAlignment="1">
      <alignment horizontal="center" vertical="center"/>
    </xf>
    <xf numFmtId="0" fontId="68" fillId="56" borderId="11" xfId="0" applyFont="1" applyFill="1" applyBorder="1" applyAlignment="1">
      <alignment horizontal="left" vertical="center" wrapText="1"/>
    </xf>
    <xf numFmtId="0" fontId="68" fillId="56" borderId="14" xfId="0" applyFont="1" applyFill="1" applyBorder="1" applyAlignment="1">
      <alignment horizontal="left" vertical="center" wrapText="1"/>
    </xf>
    <xf numFmtId="0" fontId="68" fillId="56" borderId="12" xfId="0" applyFont="1" applyFill="1" applyBorder="1" applyAlignment="1">
      <alignment horizontal="left" vertical="center" wrapText="1"/>
    </xf>
    <xf numFmtId="0" fontId="68" fillId="56" borderId="0" xfId="0" applyFont="1" applyFill="1" applyAlignment="1">
      <alignment horizontal="center" vertical="center" wrapText="1"/>
    </xf>
    <xf numFmtId="0" fontId="85" fillId="56" borderId="7" xfId="0" applyFont="1" applyFill="1" applyBorder="1" applyAlignment="1">
      <alignment horizontal="center" vertical="center"/>
    </xf>
    <xf numFmtId="0" fontId="85" fillId="56" borderId="8" xfId="0" applyFont="1" applyFill="1" applyBorder="1" applyAlignment="1">
      <alignment horizontal="center" vertical="center"/>
    </xf>
    <xf numFmtId="0" fontId="85" fillId="56" borderId="11" xfId="0" applyFont="1" applyFill="1" applyBorder="1" applyAlignment="1">
      <alignment horizontal="left" vertical="center" wrapText="1"/>
    </xf>
    <xf numFmtId="0" fontId="85" fillId="56" borderId="14" xfId="0" applyFont="1" applyFill="1" applyBorder="1" applyAlignment="1">
      <alignment horizontal="left" vertical="center" wrapText="1"/>
    </xf>
    <xf numFmtId="0" fontId="85" fillId="56" borderId="12" xfId="0" applyFont="1" applyFill="1" applyBorder="1" applyAlignment="1">
      <alignment horizontal="left" vertical="center" wrapText="1"/>
    </xf>
    <xf numFmtId="0" fontId="85" fillId="56" borderId="11" xfId="0" applyFont="1" applyFill="1" applyBorder="1" applyAlignment="1">
      <alignment horizontal="center" vertical="center"/>
    </xf>
    <xf numFmtId="0" fontId="85" fillId="56" borderId="14" xfId="0" applyFont="1" applyFill="1" applyBorder="1" applyAlignment="1">
      <alignment horizontal="center" vertical="center"/>
    </xf>
    <xf numFmtId="0" fontId="85" fillId="56" borderId="12" xfId="0" applyFont="1" applyFill="1" applyBorder="1" applyAlignment="1">
      <alignment horizontal="center" vertical="center"/>
    </xf>
    <xf numFmtId="0" fontId="68" fillId="56" borderId="11" xfId="0" applyFont="1" applyFill="1" applyBorder="1" applyAlignment="1">
      <alignment horizontal="center" vertical="center"/>
    </xf>
    <xf numFmtId="0" fontId="68" fillId="56" borderId="14" xfId="0" applyFont="1" applyFill="1" applyBorder="1" applyAlignment="1">
      <alignment horizontal="center" vertical="center"/>
    </xf>
    <xf numFmtId="0" fontId="68" fillId="56" borderId="12" xfId="0" applyFont="1" applyFill="1" applyBorder="1" applyAlignment="1">
      <alignment horizontal="center" vertical="center"/>
    </xf>
    <xf numFmtId="0" fontId="87" fillId="0" borderId="0" xfId="0" applyFont="1" applyAlignment="1" applyProtection="1">
      <alignment horizontal="right" vertical="center"/>
      <protection locked="0"/>
    </xf>
    <xf numFmtId="0" fontId="85" fillId="56" borderId="37" xfId="0" applyFont="1" applyFill="1" applyBorder="1" applyAlignment="1" applyProtection="1">
      <alignment horizontal="center" vertical="center"/>
      <protection locked="0"/>
    </xf>
    <xf numFmtId="0" fontId="85" fillId="56" borderId="38" xfId="0" applyFont="1" applyFill="1" applyBorder="1" applyAlignment="1" applyProtection="1">
      <alignment horizontal="center" vertical="center"/>
      <protection locked="0"/>
    </xf>
    <xf numFmtId="0" fontId="85" fillId="56" borderId="5" xfId="0" applyFont="1" applyFill="1" applyBorder="1" applyAlignment="1" applyProtection="1">
      <alignment horizontal="center" vertical="center"/>
      <protection locked="0"/>
    </xf>
    <xf numFmtId="0" fontId="85" fillId="56" borderId="9" xfId="0" applyFont="1" applyFill="1" applyBorder="1" applyAlignment="1" applyProtection="1">
      <alignment horizontal="center" vertical="center"/>
      <protection locked="0"/>
    </xf>
    <xf numFmtId="0" fontId="85" fillId="56" borderId="39" xfId="0" applyFont="1" applyFill="1" applyBorder="1" applyAlignment="1" applyProtection="1">
      <alignment horizontal="left" vertical="center" wrapText="1"/>
      <protection locked="0"/>
    </xf>
    <xf numFmtId="0" fontId="85" fillId="56" borderId="40" xfId="0" applyFont="1" applyFill="1" applyBorder="1" applyAlignment="1" applyProtection="1">
      <alignment horizontal="left" vertical="center" wrapText="1"/>
      <protection locked="0"/>
    </xf>
    <xf numFmtId="0" fontId="85" fillId="56" borderId="41" xfId="0" applyFont="1" applyFill="1" applyBorder="1" applyAlignment="1" applyProtection="1">
      <alignment horizontal="left" vertical="center" wrapText="1"/>
      <protection locked="0"/>
    </xf>
    <xf numFmtId="0" fontId="85" fillId="56" borderId="44" xfId="0" applyFont="1" applyFill="1" applyBorder="1" applyAlignment="1" applyProtection="1">
      <alignment horizontal="left" vertical="center" wrapText="1"/>
      <protection locked="0"/>
    </xf>
    <xf numFmtId="0" fontId="68" fillId="56" borderId="37" xfId="0" applyFont="1" applyFill="1" applyBorder="1" applyAlignment="1" applyProtection="1">
      <alignment horizontal="center" vertical="center"/>
      <protection locked="0"/>
    </xf>
    <xf numFmtId="0" fontId="68" fillId="56" borderId="38" xfId="0" applyFont="1" applyFill="1" applyBorder="1" applyAlignment="1" applyProtection="1">
      <alignment horizontal="center" vertical="center"/>
      <protection locked="0"/>
    </xf>
    <xf numFmtId="0" fontId="68" fillId="56" borderId="5" xfId="0" applyFont="1" applyFill="1" applyBorder="1" applyAlignment="1" applyProtection="1">
      <alignment horizontal="center" vertical="center"/>
      <protection locked="0"/>
    </xf>
    <xf numFmtId="0" fontId="68" fillId="56" borderId="9" xfId="0" applyFont="1" applyFill="1" applyBorder="1" applyAlignment="1" applyProtection="1">
      <alignment horizontal="center" vertical="center"/>
      <protection locked="0"/>
    </xf>
    <xf numFmtId="0" fontId="68" fillId="56" borderId="39" xfId="0" applyFont="1" applyFill="1" applyBorder="1" applyAlignment="1" applyProtection="1">
      <alignment horizontal="left" vertical="center" wrapText="1"/>
      <protection locked="0"/>
    </xf>
    <xf numFmtId="0" fontId="68" fillId="56" borderId="40" xfId="0" applyFont="1" applyFill="1" applyBorder="1" applyAlignment="1" applyProtection="1">
      <alignment horizontal="left" vertical="center" wrapText="1"/>
      <protection locked="0"/>
    </xf>
    <xf numFmtId="0" fontId="68" fillId="56" borderId="41" xfId="0" applyFont="1" applyFill="1" applyBorder="1" applyAlignment="1" applyProtection="1">
      <alignment horizontal="left" vertical="center" wrapText="1"/>
      <protection locked="0"/>
    </xf>
    <xf numFmtId="0" fontId="68" fillId="56" borderId="44" xfId="0" applyFont="1" applyFill="1" applyBorder="1" applyAlignment="1" applyProtection="1">
      <alignment horizontal="left" vertical="center" wrapText="1"/>
      <protection locked="0"/>
    </xf>
    <xf numFmtId="0" fontId="50" fillId="0" borderId="0" xfId="0" applyFont="1" applyAlignment="1" applyProtection="1">
      <alignment horizontal="left"/>
      <protection locked="0"/>
    </xf>
    <xf numFmtId="0" fontId="78" fillId="0" borderId="0" xfId="0" applyFont="1" applyAlignment="1" applyProtection="1">
      <alignment horizontal="left" wrapText="1"/>
      <protection locked="0"/>
    </xf>
    <xf numFmtId="0" fontId="97" fillId="56" borderId="37" xfId="0" applyFont="1" applyFill="1" applyBorder="1" applyAlignment="1" applyProtection="1">
      <alignment horizontal="center" vertical="center"/>
      <protection locked="0"/>
    </xf>
    <xf numFmtId="0" fontId="97" fillId="56" borderId="38" xfId="0" applyFont="1" applyFill="1" applyBorder="1" applyAlignment="1" applyProtection="1">
      <alignment horizontal="center" vertical="center"/>
      <protection locked="0"/>
    </xf>
    <xf numFmtId="0" fontId="97" fillId="56" borderId="7" xfId="0" applyFont="1" applyFill="1" applyBorder="1" applyAlignment="1" applyProtection="1">
      <alignment horizontal="center" vertical="center"/>
      <protection locked="0"/>
    </xf>
    <xf numFmtId="0" fontId="97" fillId="56" borderId="8" xfId="0" applyFont="1" applyFill="1" applyBorder="1" applyAlignment="1" applyProtection="1">
      <alignment horizontal="center" vertical="center"/>
      <protection locked="0"/>
    </xf>
    <xf numFmtId="0" fontId="97" fillId="56" borderId="5" xfId="0" applyFont="1" applyFill="1" applyBorder="1" applyAlignment="1" applyProtection="1">
      <alignment horizontal="center" vertical="center"/>
      <protection locked="0"/>
    </xf>
    <xf numFmtId="0" fontId="97" fillId="56" borderId="9" xfId="0" applyFont="1" applyFill="1" applyBorder="1" applyAlignment="1" applyProtection="1">
      <alignment horizontal="center" vertical="center"/>
      <protection locked="0"/>
    </xf>
    <xf numFmtId="0" fontId="97" fillId="56" borderId="37" xfId="0" applyFont="1" applyFill="1" applyBorder="1" applyAlignment="1" applyProtection="1">
      <alignment horizontal="left" vertical="center" wrapText="1"/>
      <protection locked="0"/>
    </xf>
    <xf numFmtId="0" fontId="97" fillId="56" borderId="43" xfId="0" applyFont="1" applyFill="1" applyBorder="1" applyAlignment="1" applyProtection="1">
      <alignment horizontal="left" vertical="center" wrapText="1"/>
      <protection locked="0"/>
    </xf>
    <xf numFmtId="0" fontId="97" fillId="56" borderId="38" xfId="0" applyFont="1" applyFill="1" applyBorder="1" applyAlignment="1" applyProtection="1">
      <alignment horizontal="left" vertical="center" wrapText="1"/>
      <protection locked="0"/>
    </xf>
    <xf numFmtId="0" fontId="97" fillId="56" borderId="13" xfId="0" applyFont="1" applyFill="1" applyBorder="1" applyAlignment="1" applyProtection="1">
      <alignment horizontal="left" vertical="center" wrapText="1"/>
      <protection locked="0"/>
    </xf>
    <xf numFmtId="0" fontId="97" fillId="56" borderId="3"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left" vertical="center" wrapText="1"/>
      <protection locked="0"/>
    </xf>
    <xf numFmtId="0" fontId="97" fillId="56" borderId="1" xfId="0" applyFont="1" applyFill="1" applyBorder="1" applyAlignment="1" applyProtection="1">
      <alignment horizontal="left" vertical="center" wrapText="1"/>
      <protection locked="0"/>
    </xf>
    <xf numFmtId="0" fontId="68" fillId="56" borderId="37" xfId="0" applyFont="1" applyFill="1" applyBorder="1" applyAlignment="1" applyProtection="1">
      <alignment horizontal="left" vertical="center" wrapText="1"/>
      <protection locked="0"/>
    </xf>
    <xf numFmtId="0" fontId="68" fillId="56" borderId="43" xfId="0" applyFont="1" applyFill="1" applyBorder="1" applyAlignment="1" applyProtection="1">
      <alignment horizontal="left" vertical="center" wrapText="1"/>
      <protection locked="0"/>
    </xf>
    <xf numFmtId="0" fontId="68" fillId="56" borderId="38" xfId="0" applyFont="1" applyFill="1" applyBorder="1" applyAlignment="1" applyProtection="1">
      <alignment horizontal="left" vertical="center" wrapText="1"/>
      <protection locked="0"/>
    </xf>
    <xf numFmtId="0" fontId="104" fillId="0" borderId="0" xfId="0" applyFont="1" applyAlignment="1" applyProtection="1">
      <alignment horizontal="left"/>
      <protection locked="0"/>
    </xf>
    <xf numFmtId="0" fontId="99" fillId="55" borderId="1" xfId="0" applyFont="1" applyFill="1" applyBorder="1" applyAlignment="1">
      <alignment horizontal="center" vertical="center" wrapText="1"/>
    </xf>
    <xf numFmtId="0" fontId="99" fillId="55" borderId="2" xfId="0" applyFont="1" applyFill="1" applyBorder="1" applyAlignment="1">
      <alignment horizontal="center" vertical="center" wrapText="1"/>
    </xf>
    <xf numFmtId="0" fontId="99" fillId="55" borderId="13" xfId="0" applyFont="1" applyFill="1" applyBorder="1" applyAlignment="1">
      <alignment horizontal="center" vertical="center" wrapText="1"/>
    </xf>
    <xf numFmtId="0" fontId="99" fillId="55" borderId="3" xfId="0" applyFont="1" applyFill="1" applyBorder="1" applyAlignment="1">
      <alignment horizontal="center" vertical="center" wrapText="1"/>
    </xf>
    <xf numFmtId="0" fontId="69" fillId="58" borderId="1" xfId="0" applyFont="1" applyFill="1" applyBorder="1" applyAlignment="1">
      <alignment horizontal="center" vertical="center" wrapText="1"/>
    </xf>
    <xf numFmtId="0" fontId="50" fillId="0" borderId="1" xfId="0" applyFont="1" applyBorder="1" applyAlignment="1">
      <alignment horizontal="center"/>
    </xf>
    <xf numFmtId="0" fontId="68" fillId="56" borderId="42" xfId="0" applyFont="1" applyFill="1" applyBorder="1" applyAlignment="1">
      <alignment horizontal="center" vertical="center"/>
    </xf>
    <xf numFmtId="0" fontId="68" fillId="56" borderId="2" xfId="0" applyFont="1" applyFill="1" applyBorder="1" applyAlignment="1">
      <alignment horizontal="left" vertical="center" wrapText="1"/>
    </xf>
    <xf numFmtId="0" fontId="68" fillId="56" borderId="13" xfId="0" applyFont="1" applyFill="1" applyBorder="1" applyAlignment="1">
      <alignment horizontal="left" vertical="center" wrapText="1"/>
    </xf>
    <xf numFmtId="0" fontId="68" fillId="56" borderId="3" xfId="0" applyFont="1" applyFill="1" applyBorder="1" applyAlignment="1">
      <alignment horizontal="left" vertical="center" wrapText="1"/>
    </xf>
    <xf numFmtId="0" fontId="78" fillId="0" borderId="0" xfId="0" applyFont="1" applyAlignment="1">
      <alignment horizontal="left"/>
    </xf>
    <xf numFmtId="0" fontId="50" fillId="0" borderId="0" xfId="0" applyFont="1" applyAlignment="1">
      <alignment horizontal="left" wrapText="1"/>
    </xf>
    <xf numFmtId="0" fontId="75" fillId="0" borderId="4" xfId="0" applyFont="1" applyBorder="1" applyAlignment="1">
      <alignment horizontal="left"/>
    </xf>
    <xf numFmtId="0" fontId="75" fillId="0" borderId="4" xfId="0" applyFont="1" applyBorder="1" applyAlignment="1" applyProtection="1">
      <alignment horizontal="left"/>
      <protection locked="0"/>
    </xf>
    <xf numFmtId="0" fontId="68" fillId="56" borderId="2" xfId="0" applyFont="1" applyFill="1" applyBorder="1" applyAlignment="1" applyProtection="1">
      <alignment horizontal="left" vertical="center" wrapText="1"/>
      <protection locked="0"/>
    </xf>
    <xf numFmtId="0" fontId="68" fillId="56" borderId="13" xfId="0" applyFont="1" applyFill="1" applyBorder="1" applyAlignment="1" applyProtection="1">
      <alignment horizontal="left" vertical="center" wrapText="1"/>
      <protection locked="0"/>
    </xf>
    <xf numFmtId="0" fontId="68" fillId="56" borderId="3" xfId="0" applyFont="1" applyFill="1" applyBorder="1" applyAlignment="1" applyProtection="1">
      <alignment horizontal="left" vertical="center" wrapText="1"/>
      <protection locked="0"/>
    </xf>
    <xf numFmtId="0" fontId="68" fillId="56" borderId="42" xfId="0" applyFont="1" applyFill="1" applyBorder="1" applyAlignment="1" applyProtection="1">
      <alignment horizontal="center" vertical="center"/>
      <protection locked="0"/>
    </xf>
    <xf numFmtId="0" fontId="68" fillId="56" borderId="6" xfId="0" applyFont="1" applyFill="1" applyBorder="1" applyAlignment="1" applyProtection="1">
      <alignment horizontal="center" vertical="center"/>
      <protection locked="0"/>
    </xf>
    <xf numFmtId="0" fontId="71" fillId="0" borderId="4" xfId="0" applyFont="1" applyBorder="1" applyAlignment="1" applyProtection="1">
      <alignment horizontal="left"/>
      <protection locked="0"/>
    </xf>
    <xf numFmtId="0" fontId="85" fillId="56" borderId="7" xfId="0" applyFont="1" applyFill="1" applyBorder="1" applyAlignment="1" applyProtection="1">
      <alignment horizontal="center" vertical="center"/>
      <protection locked="0"/>
    </xf>
    <xf numFmtId="0" fontId="85" fillId="56" borderId="8" xfId="0" applyFont="1" applyFill="1" applyBorder="1" applyAlignment="1" applyProtection="1">
      <alignment horizontal="center" vertical="center"/>
      <protection locked="0"/>
    </xf>
    <xf numFmtId="0" fontId="85" fillId="56" borderId="2" xfId="0" applyFont="1" applyFill="1" applyBorder="1" applyAlignment="1" applyProtection="1">
      <alignment horizontal="left" vertical="center" wrapText="1"/>
      <protection locked="0"/>
    </xf>
    <xf numFmtId="0" fontId="85" fillId="56" borderId="13" xfId="0" applyFont="1" applyFill="1" applyBorder="1" applyAlignment="1" applyProtection="1">
      <alignment horizontal="left" vertical="center" wrapText="1"/>
      <protection locked="0"/>
    </xf>
    <xf numFmtId="0" fontId="85" fillId="56" borderId="3" xfId="0" applyFont="1" applyFill="1" applyBorder="1" applyAlignment="1" applyProtection="1">
      <alignment horizontal="left" vertical="center" wrapText="1"/>
      <protection locked="0"/>
    </xf>
    <xf numFmtId="0" fontId="90" fillId="0" borderId="0" xfId="0" applyFont="1" applyAlignment="1" applyProtection="1">
      <alignment horizontal="left"/>
      <protection locked="0"/>
    </xf>
    <xf numFmtId="0" fontId="92" fillId="0" borderId="0" xfId="0" applyFont="1" applyAlignment="1" applyProtection="1">
      <alignment horizontal="left"/>
      <protection locked="0"/>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05" fillId="0" borderId="0" xfId="0" applyFont="1" applyAlignment="1" applyProtection="1">
      <alignment horizontal="left"/>
      <protection locked="0"/>
    </xf>
    <xf numFmtId="0" fontId="68" fillId="60" borderId="1" xfId="0" applyFont="1" applyFill="1" applyBorder="1" applyAlignment="1">
      <alignment horizontal="center" vertical="center" wrapText="1"/>
    </xf>
    <xf numFmtId="0" fontId="108" fillId="0" borderId="0" xfId="0" applyFont="1" applyAlignment="1" applyProtection="1">
      <alignment horizontal="left" vertical="center" wrapText="1"/>
      <protection locked="0"/>
    </xf>
    <xf numFmtId="0" fontId="6" fillId="0" borderId="4" xfId="0" applyFont="1" applyBorder="1" applyAlignment="1">
      <alignment horizontal="right" vertical="center"/>
    </xf>
    <xf numFmtId="0" fontId="5" fillId="0" borderId="2" xfId="0" applyFont="1" applyBorder="1" applyAlignment="1">
      <alignment horizontal="center" vertical="center"/>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cellXfs>
  <cellStyles count="435">
    <cellStyle name=" 1" xfId="193" xr:uid="{00000000-0005-0000-0000-000000000000}"/>
    <cellStyle name=" 1 2" xfId="194" xr:uid="{00000000-0005-0000-0000-000001000000}"/>
    <cellStyle name="=C:\WINNT\SYSTEM32\COMMAND.COM" xfId="195" xr:uid="{00000000-0005-0000-0000-000002000000}"/>
    <cellStyle name="=C:\WINNT\SYSTEM32\COMMAND.COM 2" xfId="376" xr:uid="{00000000-0005-0000-0000-000003000000}"/>
    <cellStyle name="=C:\WINNT\SYSTEM32\COMMAND.COM 3" xfId="372" xr:uid="{00000000-0005-0000-0000-000004000000}"/>
    <cellStyle name="20% - Accent1 2" xfId="31" xr:uid="{00000000-0005-0000-0000-000005000000}"/>
    <cellStyle name="20% - Accent1 3" xfId="196" xr:uid="{00000000-0005-0000-0000-000006000000}"/>
    <cellStyle name="20% - Accent1 4" xfId="197" xr:uid="{00000000-0005-0000-0000-000007000000}"/>
    <cellStyle name="20% - Accent1 5" xfId="377" xr:uid="{00000000-0005-0000-0000-000008000000}"/>
    <cellStyle name="20% - Accent2 2" xfId="32" xr:uid="{00000000-0005-0000-0000-000009000000}"/>
    <cellStyle name="20% - Accent2 3" xfId="198" xr:uid="{00000000-0005-0000-0000-00000A000000}"/>
    <cellStyle name="20% - Accent2 4" xfId="199" xr:uid="{00000000-0005-0000-0000-00000B000000}"/>
    <cellStyle name="20% - Accent2 5" xfId="378" xr:uid="{00000000-0005-0000-0000-00000C000000}"/>
    <cellStyle name="20% - Accent3 2" xfId="33" xr:uid="{00000000-0005-0000-0000-00000D000000}"/>
    <cellStyle name="20% - Accent3 3" xfId="200" xr:uid="{00000000-0005-0000-0000-00000E000000}"/>
    <cellStyle name="20% - Accent3 4" xfId="201" xr:uid="{00000000-0005-0000-0000-00000F000000}"/>
    <cellStyle name="20% - Accent3 5" xfId="379" xr:uid="{00000000-0005-0000-0000-000010000000}"/>
    <cellStyle name="20% - Accent4 2" xfId="34" xr:uid="{00000000-0005-0000-0000-000011000000}"/>
    <cellStyle name="20% - Accent4 3" xfId="202" xr:uid="{00000000-0005-0000-0000-000012000000}"/>
    <cellStyle name="20% - Accent4 4" xfId="203" xr:uid="{00000000-0005-0000-0000-000013000000}"/>
    <cellStyle name="20% - Accent4 5" xfId="380" xr:uid="{00000000-0005-0000-0000-000014000000}"/>
    <cellStyle name="20% - Accent5 2" xfId="35" xr:uid="{00000000-0005-0000-0000-000015000000}"/>
    <cellStyle name="20% - Accent5 3" xfId="204" xr:uid="{00000000-0005-0000-0000-000016000000}"/>
    <cellStyle name="20% - Accent5 4" xfId="205" xr:uid="{00000000-0005-0000-0000-000017000000}"/>
    <cellStyle name="20% - Accent5 5" xfId="381" xr:uid="{00000000-0005-0000-0000-000018000000}"/>
    <cellStyle name="20% - Accent6 2" xfId="36" xr:uid="{00000000-0005-0000-0000-000019000000}"/>
    <cellStyle name="20% - Accent6 3" xfId="206" xr:uid="{00000000-0005-0000-0000-00001A000000}"/>
    <cellStyle name="20% - Accent6 4" xfId="207" xr:uid="{00000000-0005-0000-0000-00001B000000}"/>
    <cellStyle name="20% - Accent6 5" xfId="382" xr:uid="{00000000-0005-0000-0000-00001C000000}"/>
    <cellStyle name="40% - Accent1 2" xfId="37" xr:uid="{00000000-0005-0000-0000-00001D000000}"/>
    <cellStyle name="40% - Accent1 3" xfId="208" xr:uid="{00000000-0005-0000-0000-00001E000000}"/>
    <cellStyle name="40% - Accent1 4" xfId="209" xr:uid="{00000000-0005-0000-0000-00001F000000}"/>
    <cellStyle name="40% - Accent1 5" xfId="383" xr:uid="{00000000-0005-0000-0000-000020000000}"/>
    <cellStyle name="40% - Accent2 2" xfId="38" xr:uid="{00000000-0005-0000-0000-000021000000}"/>
    <cellStyle name="40% - Accent2 3" xfId="210" xr:uid="{00000000-0005-0000-0000-000022000000}"/>
    <cellStyle name="40% - Accent2 4" xfId="211" xr:uid="{00000000-0005-0000-0000-000023000000}"/>
    <cellStyle name="40% - Accent2 5" xfId="384" xr:uid="{00000000-0005-0000-0000-000024000000}"/>
    <cellStyle name="40% - Accent3 2" xfId="39" xr:uid="{00000000-0005-0000-0000-000025000000}"/>
    <cellStyle name="40% - Accent3 3" xfId="212" xr:uid="{00000000-0005-0000-0000-000026000000}"/>
    <cellStyle name="40% - Accent3 4" xfId="213" xr:uid="{00000000-0005-0000-0000-000027000000}"/>
    <cellStyle name="40% - Accent3 5" xfId="385" xr:uid="{00000000-0005-0000-0000-000028000000}"/>
    <cellStyle name="40% - Accent4 2" xfId="40" xr:uid="{00000000-0005-0000-0000-000029000000}"/>
    <cellStyle name="40% - Accent4 3" xfId="214" xr:uid="{00000000-0005-0000-0000-00002A000000}"/>
    <cellStyle name="40% - Accent4 4" xfId="215" xr:uid="{00000000-0005-0000-0000-00002B000000}"/>
    <cellStyle name="40% - Accent4 5" xfId="386" xr:uid="{00000000-0005-0000-0000-00002C000000}"/>
    <cellStyle name="40% - Accent5 2" xfId="41" xr:uid="{00000000-0005-0000-0000-00002D000000}"/>
    <cellStyle name="40% - Accent5 3" xfId="216" xr:uid="{00000000-0005-0000-0000-00002E000000}"/>
    <cellStyle name="40% - Accent5 4" xfId="217" xr:uid="{00000000-0005-0000-0000-00002F000000}"/>
    <cellStyle name="40% - Accent5 5" xfId="387" xr:uid="{00000000-0005-0000-0000-000030000000}"/>
    <cellStyle name="40% - Accent6 2" xfId="42" xr:uid="{00000000-0005-0000-0000-000031000000}"/>
    <cellStyle name="40% - Accent6 3" xfId="218" xr:uid="{00000000-0005-0000-0000-000032000000}"/>
    <cellStyle name="40% - Accent6 4" xfId="219" xr:uid="{00000000-0005-0000-0000-000033000000}"/>
    <cellStyle name="40% - Accent6 5" xfId="388" xr:uid="{00000000-0005-0000-0000-000034000000}"/>
    <cellStyle name="60% - Accent1 2" xfId="43" xr:uid="{00000000-0005-0000-0000-000035000000}"/>
    <cellStyle name="60% - Accent1 3" xfId="220" xr:uid="{00000000-0005-0000-0000-000036000000}"/>
    <cellStyle name="60% - Accent1 4" xfId="221" xr:uid="{00000000-0005-0000-0000-000037000000}"/>
    <cellStyle name="60% - Accent1 5" xfId="389" xr:uid="{00000000-0005-0000-0000-000038000000}"/>
    <cellStyle name="60% - Accent2 2" xfId="44" xr:uid="{00000000-0005-0000-0000-000039000000}"/>
    <cellStyle name="60% - Accent2 3" xfId="222" xr:uid="{00000000-0005-0000-0000-00003A000000}"/>
    <cellStyle name="60% - Accent2 4" xfId="223" xr:uid="{00000000-0005-0000-0000-00003B000000}"/>
    <cellStyle name="60% - Accent2 5" xfId="390" xr:uid="{00000000-0005-0000-0000-00003C000000}"/>
    <cellStyle name="60% - Accent3 2" xfId="45" xr:uid="{00000000-0005-0000-0000-00003D000000}"/>
    <cellStyle name="60% - Accent3 3" xfId="224" xr:uid="{00000000-0005-0000-0000-00003E000000}"/>
    <cellStyle name="60% - Accent3 4" xfId="225" xr:uid="{00000000-0005-0000-0000-00003F000000}"/>
    <cellStyle name="60% - Accent3 5" xfId="391" xr:uid="{00000000-0005-0000-0000-000040000000}"/>
    <cellStyle name="60% - Accent4 2" xfId="46" xr:uid="{00000000-0005-0000-0000-000041000000}"/>
    <cellStyle name="60% - Accent4 3" xfId="226" xr:uid="{00000000-0005-0000-0000-000042000000}"/>
    <cellStyle name="60% - Accent4 4" xfId="227" xr:uid="{00000000-0005-0000-0000-000043000000}"/>
    <cellStyle name="60% - Accent4 5" xfId="392" xr:uid="{00000000-0005-0000-0000-000044000000}"/>
    <cellStyle name="60% - Accent5 2" xfId="47" xr:uid="{00000000-0005-0000-0000-000045000000}"/>
    <cellStyle name="60% - Accent5 3" xfId="228" xr:uid="{00000000-0005-0000-0000-000046000000}"/>
    <cellStyle name="60% - Accent5 4" xfId="229" xr:uid="{00000000-0005-0000-0000-000047000000}"/>
    <cellStyle name="60% - Accent5 5" xfId="393" xr:uid="{00000000-0005-0000-0000-000048000000}"/>
    <cellStyle name="60% - Accent6 2" xfId="48" xr:uid="{00000000-0005-0000-0000-000049000000}"/>
    <cellStyle name="60% - Accent6 3" xfId="230" xr:uid="{00000000-0005-0000-0000-00004A000000}"/>
    <cellStyle name="60% - Accent6 4" xfId="231" xr:uid="{00000000-0005-0000-0000-00004B000000}"/>
    <cellStyle name="60% - Accent6 5" xfId="394" xr:uid="{00000000-0005-0000-0000-00004C000000}"/>
    <cellStyle name="Accent1 2" xfId="49" xr:uid="{00000000-0005-0000-0000-00004D000000}"/>
    <cellStyle name="Accent1 3" xfId="232" xr:uid="{00000000-0005-0000-0000-00004E000000}"/>
    <cellStyle name="Accent1 4" xfId="233" xr:uid="{00000000-0005-0000-0000-00004F000000}"/>
    <cellStyle name="Accent1 5" xfId="395" xr:uid="{00000000-0005-0000-0000-000050000000}"/>
    <cellStyle name="Accent2 2" xfId="50" xr:uid="{00000000-0005-0000-0000-000051000000}"/>
    <cellStyle name="Accent2 3" xfId="234" xr:uid="{00000000-0005-0000-0000-000052000000}"/>
    <cellStyle name="Accent2 4" xfId="235" xr:uid="{00000000-0005-0000-0000-000053000000}"/>
    <cellStyle name="Accent2 5" xfId="396" xr:uid="{00000000-0005-0000-0000-000054000000}"/>
    <cellStyle name="Accent3 2" xfId="51" xr:uid="{00000000-0005-0000-0000-000055000000}"/>
    <cellStyle name="Accent3 3" xfId="236" xr:uid="{00000000-0005-0000-0000-000056000000}"/>
    <cellStyle name="Accent3 4" xfId="237" xr:uid="{00000000-0005-0000-0000-000057000000}"/>
    <cellStyle name="Accent3 5" xfId="397" xr:uid="{00000000-0005-0000-0000-000058000000}"/>
    <cellStyle name="Accent4 2" xfId="52" xr:uid="{00000000-0005-0000-0000-000059000000}"/>
    <cellStyle name="Accent4 3" xfId="238" xr:uid="{00000000-0005-0000-0000-00005A000000}"/>
    <cellStyle name="Accent4 4" xfId="239" xr:uid="{00000000-0005-0000-0000-00005B000000}"/>
    <cellStyle name="Accent4 5" xfId="398" xr:uid="{00000000-0005-0000-0000-00005C000000}"/>
    <cellStyle name="Accent5 2" xfId="53" xr:uid="{00000000-0005-0000-0000-00005D000000}"/>
    <cellStyle name="Accent5 3" xfId="240" xr:uid="{00000000-0005-0000-0000-00005E000000}"/>
    <cellStyle name="Accent5 4" xfId="241" xr:uid="{00000000-0005-0000-0000-00005F000000}"/>
    <cellStyle name="Accent5 5" xfId="399" xr:uid="{00000000-0005-0000-0000-000060000000}"/>
    <cellStyle name="Accent6 2" xfId="54" xr:uid="{00000000-0005-0000-0000-000061000000}"/>
    <cellStyle name="Accent6 3" xfId="242" xr:uid="{00000000-0005-0000-0000-000062000000}"/>
    <cellStyle name="Accent6 4" xfId="243" xr:uid="{00000000-0005-0000-0000-000063000000}"/>
    <cellStyle name="Accent6 5" xfId="400" xr:uid="{00000000-0005-0000-0000-000064000000}"/>
    <cellStyle name="Bad 2" xfId="55" xr:uid="{00000000-0005-0000-0000-000065000000}"/>
    <cellStyle name="Bad 3" xfId="244" xr:uid="{00000000-0005-0000-0000-000066000000}"/>
    <cellStyle name="Bad 4" xfId="245" xr:uid="{00000000-0005-0000-0000-000067000000}"/>
    <cellStyle name="Bad 5" xfId="401" xr:uid="{00000000-0005-0000-0000-000068000000}"/>
    <cellStyle name="Calculation 2" xfId="56" xr:uid="{00000000-0005-0000-0000-000069000000}"/>
    <cellStyle name="Calculation 3" xfId="246" xr:uid="{00000000-0005-0000-0000-00006A000000}"/>
    <cellStyle name="Calculation 4" xfId="247" xr:uid="{00000000-0005-0000-0000-00006B000000}"/>
    <cellStyle name="Calculation 5" xfId="402" xr:uid="{00000000-0005-0000-0000-00006C000000}"/>
    <cellStyle name="Check Cell 2" xfId="57" xr:uid="{00000000-0005-0000-0000-00006D000000}"/>
    <cellStyle name="Check Cell 3" xfId="248" xr:uid="{00000000-0005-0000-0000-00006E000000}"/>
    <cellStyle name="Check Cell 4" xfId="249" xr:uid="{00000000-0005-0000-0000-00006F000000}"/>
    <cellStyle name="Check Cell 5" xfId="403" xr:uid="{00000000-0005-0000-0000-000070000000}"/>
    <cellStyle name="Comma" xfId="7" builtinId="3"/>
    <cellStyle name="Comma 10" xfId="433" xr:uid="{00000000-0005-0000-0000-0000DC010000}"/>
    <cellStyle name="Comma 2" xfId="250" xr:uid="{00000000-0005-0000-0000-000072000000}"/>
    <cellStyle name="Comma 2 2" xfId="371" xr:uid="{00000000-0005-0000-0000-000073000000}"/>
    <cellStyle name="Comma 2 2 2" xfId="405" xr:uid="{00000000-0005-0000-0000-000074000000}"/>
    <cellStyle name="Comma 2 3" xfId="404" xr:uid="{00000000-0005-0000-0000-000075000000}"/>
    <cellStyle name="Comma 2 4" xfId="370" xr:uid="{00000000-0005-0000-0000-000076000000}"/>
    <cellStyle name="Comma 3" xfId="4" xr:uid="{00000000-0005-0000-0000-000077000000}"/>
    <cellStyle name="Comma 3 2" xfId="406" xr:uid="{00000000-0005-0000-0000-000078000000}"/>
    <cellStyle name="Comma 4" xfId="251" xr:uid="{00000000-0005-0000-0000-000079000000}"/>
    <cellStyle name="Comma 4 2" xfId="252" xr:uid="{00000000-0005-0000-0000-00007A000000}"/>
    <cellStyle name="Comma 5" xfId="253" xr:uid="{00000000-0005-0000-0000-00007B000000}"/>
    <cellStyle name="Comma 5 2" xfId="254" xr:uid="{00000000-0005-0000-0000-00007C000000}"/>
    <cellStyle name="Comma 6" xfId="255" xr:uid="{00000000-0005-0000-0000-00007D000000}"/>
    <cellStyle name="Comma 6 2" xfId="256" xr:uid="{00000000-0005-0000-0000-00007E000000}"/>
    <cellStyle name="Comma 7" xfId="407" xr:uid="{00000000-0005-0000-0000-00007F000000}"/>
    <cellStyle name="Comma 8" xfId="408" xr:uid="{00000000-0005-0000-0000-000080000000}"/>
    <cellStyle name="Comma 9" xfId="409" xr:uid="{00000000-0005-0000-0000-000081000000}"/>
    <cellStyle name="Currency 2" xfId="431" xr:uid="{00000000-0005-0000-0000-000082000000}"/>
    <cellStyle name="Currency 3" xfId="426" xr:uid="{00000000-0005-0000-0000-000083000000}"/>
    <cellStyle name="Explanatory Text 2" xfId="58" xr:uid="{00000000-0005-0000-0000-000084000000}"/>
    <cellStyle name="Explanatory Text 3" xfId="257" xr:uid="{00000000-0005-0000-0000-000085000000}"/>
    <cellStyle name="Explanatory Text 4" xfId="258" xr:uid="{00000000-0005-0000-0000-000086000000}"/>
    <cellStyle name="Explanatory Text 5" xfId="410" xr:uid="{00000000-0005-0000-0000-000087000000}"/>
    <cellStyle name="Good 2" xfId="59" xr:uid="{00000000-0005-0000-0000-000088000000}"/>
    <cellStyle name="Good 3" xfId="259" xr:uid="{00000000-0005-0000-0000-000089000000}"/>
    <cellStyle name="Good 4" xfId="260" xr:uid="{00000000-0005-0000-0000-00008A000000}"/>
    <cellStyle name="Good 5" xfId="411" xr:uid="{00000000-0005-0000-0000-00008B000000}"/>
    <cellStyle name="Heading 1 2" xfId="60" xr:uid="{00000000-0005-0000-0000-00008C000000}"/>
    <cellStyle name="Heading 1 3" xfId="261" xr:uid="{00000000-0005-0000-0000-00008D000000}"/>
    <cellStyle name="Heading 1 4" xfId="262" xr:uid="{00000000-0005-0000-0000-00008E000000}"/>
    <cellStyle name="Heading 1 5" xfId="412" xr:uid="{00000000-0005-0000-0000-00008F000000}"/>
    <cellStyle name="Heading 2 2" xfId="61" xr:uid="{00000000-0005-0000-0000-000090000000}"/>
    <cellStyle name="Heading 2 3" xfId="263" xr:uid="{00000000-0005-0000-0000-000091000000}"/>
    <cellStyle name="Heading 2 4" xfId="264" xr:uid="{00000000-0005-0000-0000-000092000000}"/>
    <cellStyle name="Heading 2 5" xfId="413" xr:uid="{00000000-0005-0000-0000-000093000000}"/>
    <cellStyle name="Heading 3 2" xfId="62" xr:uid="{00000000-0005-0000-0000-000094000000}"/>
    <cellStyle name="Heading 3 3" xfId="265" xr:uid="{00000000-0005-0000-0000-000095000000}"/>
    <cellStyle name="Heading 3 4" xfId="266" xr:uid="{00000000-0005-0000-0000-000096000000}"/>
    <cellStyle name="Heading 3 5" xfId="414" xr:uid="{00000000-0005-0000-0000-000097000000}"/>
    <cellStyle name="Heading 4 2" xfId="63" xr:uid="{00000000-0005-0000-0000-000098000000}"/>
    <cellStyle name="Heading 4 3" xfId="267" xr:uid="{00000000-0005-0000-0000-000099000000}"/>
    <cellStyle name="Heading 4 4" xfId="268" xr:uid="{00000000-0005-0000-0000-00009A000000}"/>
    <cellStyle name="Heading 4 5" xfId="415" xr:uid="{00000000-0005-0000-0000-00009B000000}"/>
    <cellStyle name="Input 2" xfId="64" xr:uid="{00000000-0005-0000-0000-00009C000000}"/>
    <cellStyle name="Input 3" xfId="269" xr:uid="{00000000-0005-0000-0000-00009D000000}"/>
    <cellStyle name="Input 4" xfId="270" xr:uid="{00000000-0005-0000-0000-00009E000000}"/>
    <cellStyle name="Input 5" xfId="416" xr:uid="{00000000-0005-0000-0000-00009F000000}"/>
    <cellStyle name="Linked Cell 2" xfId="65" xr:uid="{00000000-0005-0000-0000-0000A0000000}"/>
    <cellStyle name="Linked Cell 3" xfId="271" xr:uid="{00000000-0005-0000-0000-0000A1000000}"/>
    <cellStyle name="Linked Cell 4" xfId="272" xr:uid="{00000000-0005-0000-0000-0000A2000000}"/>
    <cellStyle name="Linked Cell 5" xfId="417" xr:uid="{00000000-0005-0000-0000-0000A3000000}"/>
    <cellStyle name="Neutral 2" xfId="66" xr:uid="{00000000-0005-0000-0000-0000A4000000}"/>
    <cellStyle name="Neutral 3" xfId="273" xr:uid="{00000000-0005-0000-0000-0000A5000000}"/>
    <cellStyle name="Neutral 4" xfId="274" xr:uid="{00000000-0005-0000-0000-0000A6000000}"/>
    <cellStyle name="Neutral 5" xfId="418" xr:uid="{00000000-0005-0000-0000-0000A7000000}"/>
    <cellStyle name="Normal" xfId="0" builtinId="0"/>
    <cellStyle name="Normal 10" xfId="16" xr:uid="{00000000-0005-0000-0000-0000A9000000}"/>
    <cellStyle name="Normal 10 2" xfId="276" xr:uid="{00000000-0005-0000-0000-0000AA000000}"/>
    <cellStyle name="Normal 10 3" xfId="275" xr:uid="{00000000-0005-0000-0000-0000AB000000}"/>
    <cellStyle name="Normal 100" xfId="150" xr:uid="{00000000-0005-0000-0000-0000AC000000}"/>
    <cellStyle name="Normal 101" xfId="151" xr:uid="{00000000-0005-0000-0000-0000AD000000}"/>
    <cellStyle name="Normal 102" xfId="152" xr:uid="{00000000-0005-0000-0000-0000AE000000}"/>
    <cellStyle name="Normal 103" xfId="153" xr:uid="{00000000-0005-0000-0000-0000AF000000}"/>
    <cellStyle name="Normal 104" xfId="154" xr:uid="{00000000-0005-0000-0000-0000B0000000}"/>
    <cellStyle name="Normal 105" xfId="155" xr:uid="{00000000-0005-0000-0000-0000B1000000}"/>
    <cellStyle name="Normal 106" xfId="156" xr:uid="{00000000-0005-0000-0000-0000B2000000}"/>
    <cellStyle name="Normal 107" xfId="157" xr:uid="{00000000-0005-0000-0000-0000B3000000}"/>
    <cellStyle name="Normal 108" xfId="158" xr:uid="{00000000-0005-0000-0000-0000B4000000}"/>
    <cellStyle name="Normal 109" xfId="159" xr:uid="{00000000-0005-0000-0000-0000B5000000}"/>
    <cellStyle name="Normal 11" xfId="17" xr:uid="{00000000-0005-0000-0000-0000B6000000}"/>
    <cellStyle name="Normal 110" xfId="160" xr:uid="{00000000-0005-0000-0000-0000B7000000}"/>
    <cellStyle name="Normal 111" xfId="161" xr:uid="{00000000-0005-0000-0000-0000B8000000}"/>
    <cellStyle name="Normal 112" xfId="162" xr:uid="{00000000-0005-0000-0000-0000B9000000}"/>
    <cellStyle name="Normal 113" xfId="163" xr:uid="{00000000-0005-0000-0000-0000BA000000}"/>
    <cellStyle name="Normal 114" xfId="164" xr:uid="{00000000-0005-0000-0000-0000BB000000}"/>
    <cellStyle name="Normal 115" xfId="165" xr:uid="{00000000-0005-0000-0000-0000BC000000}"/>
    <cellStyle name="Normal 116" xfId="166" xr:uid="{00000000-0005-0000-0000-0000BD000000}"/>
    <cellStyle name="Normal 117" xfId="167" xr:uid="{00000000-0005-0000-0000-0000BE000000}"/>
    <cellStyle name="Normal 118" xfId="168" xr:uid="{00000000-0005-0000-0000-0000BF000000}"/>
    <cellStyle name="Normal 119" xfId="169" xr:uid="{00000000-0005-0000-0000-0000C0000000}"/>
    <cellStyle name="Normal 12" xfId="18" xr:uid="{00000000-0005-0000-0000-0000C1000000}"/>
    <cellStyle name="Normal 120" xfId="170" xr:uid="{00000000-0005-0000-0000-0000C2000000}"/>
    <cellStyle name="Normal 121" xfId="171" xr:uid="{00000000-0005-0000-0000-0000C3000000}"/>
    <cellStyle name="Normal 122" xfId="172" xr:uid="{00000000-0005-0000-0000-0000C4000000}"/>
    <cellStyle name="Normal 123" xfId="173" xr:uid="{00000000-0005-0000-0000-0000C5000000}"/>
    <cellStyle name="Normal 124" xfId="174" xr:uid="{00000000-0005-0000-0000-0000C6000000}"/>
    <cellStyle name="Normal 125" xfId="175" xr:uid="{00000000-0005-0000-0000-0000C7000000}"/>
    <cellStyle name="Normal 126" xfId="176" xr:uid="{00000000-0005-0000-0000-0000C8000000}"/>
    <cellStyle name="Normal 127" xfId="177" xr:uid="{00000000-0005-0000-0000-0000C9000000}"/>
    <cellStyle name="Normal 128" xfId="178" xr:uid="{00000000-0005-0000-0000-0000CA000000}"/>
    <cellStyle name="Normal 129" xfId="179" xr:uid="{00000000-0005-0000-0000-0000CB000000}"/>
    <cellStyle name="Normal 13" xfId="19" xr:uid="{00000000-0005-0000-0000-0000CC000000}"/>
    <cellStyle name="Normal 130" xfId="180" xr:uid="{00000000-0005-0000-0000-0000CD000000}"/>
    <cellStyle name="Normal 131" xfId="181" xr:uid="{00000000-0005-0000-0000-0000CE000000}"/>
    <cellStyle name="Normal 132" xfId="182" xr:uid="{00000000-0005-0000-0000-0000CF000000}"/>
    <cellStyle name="Normal 133" xfId="183" xr:uid="{00000000-0005-0000-0000-0000D0000000}"/>
    <cellStyle name="Normal 134" xfId="184" xr:uid="{00000000-0005-0000-0000-0000D1000000}"/>
    <cellStyle name="Normal 135" xfId="185" xr:uid="{00000000-0005-0000-0000-0000D2000000}"/>
    <cellStyle name="Normal 136" xfId="186" xr:uid="{00000000-0005-0000-0000-0000D3000000}"/>
    <cellStyle name="Normal 137" xfId="187" xr:uid="{00000000-0005-0000-0000-0000D4000000}"/>
    <cellStyle name="Normal 138" xfId="188" xr:uid="{00000000-0005-0000-0000-0000D5000000}"/>
    <cellStyle name="Normal 139" xfId="189" xr:uid="{00000000-0005-0000-0000-0000D6000000}"/>
    <cellStyle name="Normal 14" xfId="20" xr:uid="{00000000-0005-0000-0000-0000D7000000}"/>
    <cellStyle name="Normal 140" xfId="190" xr:uid="{00000000-0005-0000-0000-0000D8000000}"/>
    <cellStyle name="Normal 141" xfId="191" xr:uid="{00000000-0005-0000-0000-0000D9000000}"/>
    <cellStyle name="Normal 142" xfId="192" xr:uid="{00000000-0005-0000-0000-0000DA000000}"/>
    <cellStyle name="Normal 143" xfId="311" xr:uid="{00000000-0005-0000-0000-0000DB000000}"/>
    <cellStyle name="Normal 144" xfId="312" xr:uid="{00000000-0005-0000-0000-0000DC000000}"/>
    <cellStyle name="Normal 145" xfId="313" xr:uid="{00000000-0005-0000-0000-0000DD000000}"/>
    <cellStyle name="Normal 146" xfId="314" xr:uid="{00000000-0005-0000-0000-0000DE000000}"/>
    <cellStyle name="Normal 147" xfId="315" xr:uid="{00000000-0005-0000-0000-0000DF000000}"/>
    <cellStyle name="Normal 148" xfId="316" xr:uid="{00000000-0005-0000-0000-0000E0000000}"/>
    <cellStyle name="Normal 149" xfId="317" xr:uid="{00000000-0005-0000-0000-0000E1000000}"/>
    <cellStyle name="Normal 15" xfId="21" xr:uid="{00000000-0005-0000-0000-0000E2000000}"/>
    <cellStyle name="Normal 150" xfId="318" xr:uid="{00000000-0005-0000-0000-0000E3000000}"/>
    <cellStyle name="Normal 151" xfId="319" xr:uid="{00000000-0005-0000-0000-0000E4000000}"/>
    <cellStyle name="Normal 152" xfId="320" xr:uid="{00000000-0005-0000-0000-0000E5000000}"/>
    <cellStyle name="Normal 153" xfId="321" xr:uid="{00000000-0005-0000-0000-0000E6000000}"/>
    <cellStyle name="Normal 154" xfId="322" xr:uid="{00000000-0005-0000-0000-0000E7000000}"/>
    <cellStyle name="Normal 155" xfId="323" xr:uid="{00000000-0005-0000-0000-0000E8000000}"/>
    <cellStyle name="Normal 156" xfId="324" xr:uid="{00000000-0005-0000-0000-0000E9000000}"/>
    <cellStyle name="Normal 157" xfId="327" xr:uid="{00000000-0005-0000-0000-0000EA000000}"/>
    <cellStyle name="Normal 158" xfId="326" xr:uid="{00000000-0005-0000-0000-0000EB000000}"/>
    <cellStyle name="Normal 159" xfId="325" xr:uid="{00000000-0005-0000-0000-0000EC000000}"/>
    <cellStyle name="Normal 16" xfId="22" xr:uid="{00000000-0005-0000-0000-0000ED000000}"/>
    <cellStyle name="Normal 160" xfId="328" xr:uid="{00000000-0005-0000-0000-0000EE000000}"/>
    <cellStyle name="Normal 161" xfId="329" xr:uid="{00000000-0005-0000-0000-0000EF000000}"/>
    <cellStyle name="Normal 162" xfId="330" xr:uid="{00000000-0005-0000-0000-0000F0000000}"/>
    <cellStyle name="Normal 163" xfId="331" xr:uid="{00000000-0005-0000-0000-0000F1000000}"/>
    <cellStyle name="Normal 164" xfId="332" xr:uid="{00000000-0005-0000-0000-0000F2000000}"/>
    <cellStyle name="Normal 165" xfId="333" xr:uid="{00000000-0005-0000-0000-0000F3000000}"/>
    <cellStyle name="Normal 166" xfId="334" xr:uid="{00000000-0005-0000-0000-0000F4000000}"/>
    <cellStyle name="Normal 167" xfId="335" xr:uid="{00000000-0005-0000-0000-0000F5000000}"/>
    <cellStyle name="Normal 168" xfId="336" xr:uid="{00000000-0005-0000-0000-0000F6000000}"/>
    <cellStyle name="Normal 169" xfId="337" xr:uid="{00000000-0005-0000-0000-0000F7000000}"/>
    <cellStyle name="Normal 17" xfId="23" xr:uid="{00000000-0005-0000-0000-0000F8000000}"/>
    <cellStyle name="Normal 170" xfId="338" xr:uid="{00000000-0005-0000-0000-0000F9000000}"/>
    <cellStyle name="Normal 171" xfId="339" xr:uid="{00000000-0005-0000-0000-0000FA000000}"/>
    <cellStyle name="Normal 172" xfId="340" xr:uid="{00000000-0005-0000-0000-0000FB000000}"/>
    <cellStyle name="Normal 173" xfId="341" xr:uid="{00000000-0005-0000-0000-0000FC000000}"/>
    <cellStyle name="Normal 174" xfId="342" xr:uid="{00000000-0005-0000-0000-0000FD000000}"/>
    <cellStyle name="Normal 175" xfId="343" xr:uid="{00000000-0005-0000-0000-0000FE000000}"/>
    <cellStyle name="Normal 176" xfId="344" xr:uid="{00000000-0005-0000-0000-0000FF000000}"/>
    <cellStyle name="Normal 177" xfId="345" xr:uid="{00000000-0005-0000-0000-000000010000}"/>
    <cellStyle name="Normal 178" xfId="346" xr:uid="{00000000-0005-0000-0000-000001010000}"/>
    <cellStyle name="Normal 179" xfId="347" xr:uid="{00000000-0005-0000-0000-000002010000}"/>
    <cellStyle name="Normal 18" xfId="24" xr:uid="{00000000-0005-0000-0000-000003010000}"/>
    <cellStyle name="Normal 180" xfId="348" xr:uid="{00000000-0005-0000-0000-000004010000}"/>
    <cellStyle name="Normal 181" xfId="349" xr:uid="{00000000-0005-0000-0000-000005010000}"/>
    <cellStyle name="Normal 182" xfId="350" xr:uid="{00000000-0005-0000-0000-000006010000}"/>
    <cellStyle name="Normal 183" xfId="351" xr:uid="{00000000-0005-0000-0000-000007010000}"/>
    <cellStyle name="Normal 184" xfId="352" xr:uid="{00000000-0005-0000-0000-000008010000}"/>
    <cellStyle name="Normal 185" xfId="353" xr:uid="{00000000-0005-0000-0000-000009010000}"/>
    <cellStyle name="Normal 186" xfId="354" xr:uid="{00000000-0005-0000-0000-00000A010000}"/>
    <cellStyle name="Normal 187" xfId="355" xr:uid="{00000000-0005-0000-0000-00000B010000}"/>
    <cellStyle name="Normal 188" xfId="356" xr:uid="{00000000-0005-0000-0000-00000C010000}"/>
    <cellStyle name="Normal 189" xfId="357" xr:uid="{00000000-0005-0000-0000-00000D010000}"/>
    <cellStyle name="Normal 19" xfId="25" xr:uid="{00000000-0005-0000-0000-00000E010000}"/>
    <cellStyle name="Normal 190" xfId="358" xr:uid="{00000000-0005-0000-0000-00000F010000}"/>
    <cellStyle name="Normal 191" xfId="359" xr:uid="{00000000-0005-0000-0000-000010010000}"/>
    <cellStyle name="Normal 192" xfId="360" xr:uid="{00000000-0005-0000-0000-000011010000}"/>
    <cellStyle name="Normal 193" xfId="361" xr:uid="{00000000-0005-0000-0000-000012010000}"/>
    <cellStyle name="Normal 194" xfId="362" xr:uid="{00000000-0005-0000-0000-000013010000}"/>
    <cellStyle name="Normal 195" xfId="363" xr:uid="{00000000-0005-0000-0000-000014010000}"/>
    <cellStyle name="Normal 196" xfId="365" xr:uid="{00000000-0005-0000-0000-000015010000}"/>
    <cellStyle name="Normal 197" xfId="366" xr:uid="{00000000-0005-0000-0000-000016010000}"/>
    <cellStyle name="Normal 198" xfId="367" xr:uid="{00000000-0005-0000-0000-000017010000}"/>
    <cellStyle name="Normal 199" xfId="364" xr:uid="{00000000-0005-0000-0000-000018010000}"/>
    <cellStyle name="Normal 2" xfId="5" xr:uid="{00000000-0005-0000-0000-000019010000}"/>
    <cellStyle name="Normal 2 2" xfId="121" xr:uid="{00000000-0005-0000-0000-00001A010000}"/>
    <cellStyle name="Normal 2 2 2" xfId="279" xr:uid="{00000000-0005-0000-0000-00001B010000}"/>
    <cellStyle name="Normal 2 2 3" xfId="278" xr:uid="{00000000-0005-0000-0000-00001C010000}"/>
    <cellStyle name="Normal 2 3" xfId="280" xr:uid="{00000000-0005-0000-0000-00001D010000}"/>
    <cellStyle name="Normal 2 4" xfId="277" xr:uid="{00000000-0005-0000-0000-00001E010000}"/>
    <cellStyle name="Normal 2 5" xfId="427" xr:uid="{00000000-0005-0000-0000-00001F010000}"/>
    <cellStyle name="Normal 20" xfId="26" xr:uid="{00000000-0005-0000-0000-000020010000}"/>
    <cellStyle name="Normal 200" xfId="368" xr:uid="{00000000-0005-0000-0000-000021010000}"/>
    <cellStyle name="Normal 201" xfId="369" xr:uid="{00000000-0005-0000-0000-000022010000}"/>
    <cellStyle name="Normal 202" xfId="375" xr:uid="{00000000-0005-0000-0000-000023010000}"/>
    <cellStyle name="Normal 203" xfId="373" xr:uid="{00000000-0005-0000-0000-000024010000}"/>
    <cellStyle name="Normal 204" xfId="8" xr:uid="{00000000-0005-0000-0000-000025010000}"/>
    <cellStyle name="Normal 205" xfId="432" xr:uid="{00000000-0005-0000-0000-0000DD010000}"/>
    <cellStyle name="Normal 21" xfId="27" xr:uid="{00000000-0005-0000-0000-000026010000}"/>
    <cellStyle name="Normal 22" xfId="28" xr:uid="{00000000-0005-0000-0000-000027010000}"/>
    <cellStyle name="Normal 23" xfId="29" xr:uid="{00000000-0005-0000-0000-000028010000}"/>
    <cellStyle name="Normal 24" xfId="30" xr:uid="{00000000-0005-0000-0000-000029010000}"/>
    <cellStyle name="Normal 25" xfId="72" xr:uid="{00000000-0005-0000-0000-00002A010000}"/>
    <cellStyle name="Normal 26" xfId="73" xr:uid="{00000000-0005-0000-0000-00002B010000}"/>
    <cellStyle name="Normal 267" xfId="428" xr:uid="{00000000-0005-0000-0000-00002C010000}"/>
    <cellStyle name="Normal 27" xfId="2" xr:uid="{00000000-0005-0000-0000-00002D010000}"/>
    <cellStyle name="Normal 27 2" xfId="74" xr:uid="{00000000-0005-0000-0000-00002E010000}"/>
    <cellStyle name="Normal 28" xfId="75" xr:uid="{00000000-0005-0000-0000-00002F010000}"/>
    <cellStyle name="Normal 29" xfId="76" xr:uid="{00000000-0005-0000-0000-000030010000}"/>
    <cellStyle name="Normal 3" xfId="3" xr:uid="{00000000-0005-0000-0000-000031010000}"/>
    <cellStyle name="Normal 3 2" xfId="282" xr:uid="{00000000-0005-0000-0000-000032010000}"/>
    <cellStyle name="Normal 3 3" xfId="281" xr:uid="{00000000-0005-0000-0000-000033010000}"/>
    <cellStyle name="Normal 3 4" xfId="9" xr:uid="{00000000-0005-0000-0000-000034010000}"/>
    <cellStyle name="Normal 3 5" xfId="429" xr:uid="{00000000-0005-0000-0000-000035010000}"/>
    <cellStyle name="Normal 30" xfId="77" xr:uid="{00000000-0005-0000-0000-000036010000}"/>
    <cellStyle name="Normal 31" xfId="79" xr:uid="{00000000-0005-0000-0000-000037010000}"/>
    <cellStyle name="Normal 32" xfId="80" xr:uid="{00000000-0005-0000-0000-000038010000}"/>
    <cellStyle name="Normal 33" xfId="81" xr:uid="{00000000-0005-0000-0000-000039010000}"/>
    <cellStyle name="Normal 34" xfId="82" xr:uid="{00000000-0005-0000-0000-00003A010000}"/>
    <cellStyle name="Normal 35" xfId="83" xr:uid="{00000000-0005-0000-0000-00003B010000}"/>
    <cellStyle name="Normal 36" xfId="84" xr:uid="{00000000-0005-0000-0000-00003C010000}"/>
    <cellStyle name="Normal 37" xfId="85" xr:uid="{00000000-0005-0000-0000-00003D010000}"/>
    <cellStyle name="Normal 38" xfId="86" xr:uid="{00000000-0005-0000-0000-00003E010000}"/>
    <cellStyle name="Normal 39" xfId="88" xr:uid="{00000000-0005-0000-0000-00003F010000}"/>
    <cellStyle name="Normal 4" xfId="10" xr:uid="{00000000-0005-0000-0000-000040010000}"/>
    <cellStyle name="Normal 4 2" xfId="284" xr:uid="{00000000-0005-0000-0000-000041010000}"/>
    <cellStyle name="Normal 4 2 2" xfId="285" xr:uid="{00000000-0005-0000-0000-000042010000}"/>
    <cellStyle name="Normal 4 3" xfId="286" xr:uid="{00000000-0005-0000-0000-000043010000}"/>
    <cellStyle name="Normal 4 4" xfId="283" xr:uid="{00000000-0005-0000-0000-000044010000}"/>
    <cellStyle name="Normal 4 5" xfId="430" xr:uid="{00000000-0005-0000-0000-000045010000}"/>
    <cellStyle name="Normal 40" xfId="89" xr:uid="{00000000-0005-0000-0000-000046010000}"/>
    <cellStyle name="Normal 41" xfId="90" xr:uid="{00000000-0005-0000-0000-000047010000}"/>
    <cellStyle name="Normal 42" xfId="91" xr:uid="{00000000-0005-0000-0000-000048010000}"/>
    <cellStyle name="Normal 43" xfId="92" xr:uid="{00000000-0005-0000-0000-000049010000}"/>
    <cellStyle name="Normal 44" xfId="93" xr:uid="{00000000-0005-0000-0000-00004A010000}"/>
    <cellStyle name="Normal 45" xfId="94" xr:uid="{00000000-0005-0000-0000-00004B010000}"/>
    <cellStyle name="Normal 46" xfId="95" xr:uid="{00000000-0005-0000-0000-00004C010000}"/>
    <cellStyle name="Normal 47" xfId="96" xr:uid="{00000000-0005-0000-0000-00004D010000}"/>
    <cellStyle name="Normal 48" xfId="97" xr:uid="{00000000-0005-0000-0000-00004E010000}"/>
    <cellStyle name="Normal 49" xfId="98" xr:uid="{00000000-0005-0000-0000-00004F010000}"/>
    <cellStyle name="Normal 5" xfId="11" xr:uid="{00000000-0005-0000-0000-000050010000}"/>
    <cellStyle name="Normal 5 2" xfId="287" xr:uid="{00000000-0005-0000-0000-000051010000}"/>
    <cellStyle name="Normal 50" xfId="99" xr:uid="{00000000-0005-0000-0000-000052010000}"/>
    <cellStyle name="Normal 51" xfId="101" xr:uid="{00000000-0005-0000-0000-000053010000}"/>
    <cellStyle name="Normal 52" xfId="100" xr:uid="{00000000-0005-0000-0000-000054010000}"/>
    <cellStyle name="Normal 53" xfId="102" xr:uid="{00000000-0005-0000-0000-000055010000}"/>
    <cellStyle name="Normal 53 2" xfId="6" xr:uid="{00000000-0005-0000-0000-000056010000}"/>
    <cellStyle name="Normal 54" xfId="103" xr:uid="{00000000-0005-0000-0000-000057010000}"/>
    <cellStyle name="Normal 55" xfId="104" xr:uid="{00000000-0005-0000-0000-000058010000}"/>
    <cellStyle name="Normal 56" xfId="105" xr:uid="{00000000-0005-0000-0000-000059010000}"/>
    <cellStyle name="Normal 57" xfId="106" xr:uid="{00000000-0005-0000-0000-00005A010000}"/>
    <cellStyle name="Normal 58" xfId="107" xr:uid="{00000000-0005-0000-0000-00005B010000}"/>
    <cellStyle name="Normal 59" xfId="108" xr:uid="{00000000-0005-0000-0000-00005C010000}"/>
    <cellStyle name="Normal 6" xfId="12" xr:uid="{00000000-0005-0000-0000-00005D010000}"/>
    <cellStyle name="Normal 6 2" xfId="288" xr:uid="{00000000-0005-0000-0000-00005E010000}"/>
    <cellStyle name="Normal 6 3" xfId="374" xr:uid="{00000000-0005-0000-0000-00005F010000}"/>
    <cellStyle name="Normal 60" xfId="109" xr:uid="{00000000-0005-0000-0000-000060010000}"/>
    <cellStyle name="Normal 61" xfId="110" xr:uid="{00000000-0005-0000-0000-000061010000}"/>
    <cellStyle name="Normal 62" xfId="111" xr:uid="{00000000-0005-0000-0000-000062010000}"/>
    <cellStyle name="Normal 63" xfId="112" xr:uid="{00000000-0005-0000-0000-000063010000}"/>
    <cellStyle name="Normal 64" xfId="113" xr:uid="{00000000-0005-0000-0000-000064010000}"/>
    <cellStyle name="Normal 65" xfId="114" xr:uid="{00000000-0005-0000-0000-000065010000}"/>
    <cellStyle name="Normal 66" xfId="115" xr:uid="{00000000-0005-0000-0000-000066010000}"/>
    <cellStyle name="Normal 67" xfId="116" xr:uid="{00000000-0005-0000-0000-000067010000}"/>
    <cellStyle name="Normal 68" xfId="117" xr:uid="{00000000-0005-0000-0000-000068010000}"/>
    <cellStyle name="Normal 69" xfId="118" xr:uid="{00000000-0005-0000-0000-000069010000}"/>
    <cellStyle name="Normal 7" xfId="13" xr:uid="{00000000-0005-0000-0000-00006A010000}"/>
    <cellStyle name="Normal 7 2" xfId="289" xr:uid="{00000000-0005-0000-0000-00006B010000}"/>
    <cellStyle name="Normal 7 2 2" xfId="419" xr:uid="{00000000-0005-0000-0000-00006C010000}"/>
    <cellStyle name="Normal 70" xfId="119" xr:uid="{00000000-0005-0000-0000-00006D010000}"/>
    <cellStyle name="Normal 71" xfId="120" xr:uid="{00000000-0005-0000-0000-00006E010000}"/>
    <cellStyle name="Normal 72" xfId="122" xr:uid="{00000000-0005-0000-0000-00006F010000}"/>
    <cellStyle name="Normal 73" xfId="123" xr:uid="{00000000-0005-0000-0000-000070010000}"/>
    <cellStyle name="Normal 74" xfId="124" xr:uid="{00000000-0005-0000-0000-000071010000}"/>
    <cellStyle name="Normal 75" xfId="125" xr:uid="{00000000-0005-0000-0000-000072010000}"/>
    <cellStyle name="Normal 76" xfId="126" xr:uid="{00000000-0005-0000-0000-000073010000}"/>
    <cellStyle name="Normal 77" xfId="127" xr:uid="{00000000-0005-0000-0000-000074010000}"/>
    <cellStyle name="Normal 78" xfId="128" xr:uid="{00000000-0005-0000-0000-000075010000}"/>
    <cellStyle name="Normal 79" xfId="129" xr:uid="{00000000-0005-0000-0000-000076010000}"/>
    <cellStyle name="Normal 8" xfId="14" xr:uid="{00000000-0005-0000-0000-000077010000}"/>
    <cellStyle name="Normal 8 2" xfId="291" xr:uid="{00000000-0005-0000-0000-000078010000}"/>
    <cellStyle name="Normal 8 3" xfId="290" xr:uid="{00000000-0005-0000-0000-000079010000}"/>
    <cellStyle name="Normal 80" xfId="130" xr:uid="{00000000-0005-0000-0000-00007A010000}"/>
    <cellStyle name="Normal 81" xfId="131" xr:uid="{00000000-0005-0000-0000-00007B010000}"/>
    <cellStyle name="Normal 82" xfId="132" xr:uid="{00000000-0005-0000-0000-00007C010000}"/>
    <cellStyle name="Normal 83" xfId="133" xr:uid="{00000000-0005-0000-0000-00007D010000}"/>
    <cellStyle name="Normal 84" xfId="134" xr:uid="{00000000-0005-0000-0000-00007E010000}"/>
    <cellStyle name="Normal 85" xfId="135" xr:uid="{00000000-0005-0000-0000-00007F010000}"/>
    <cellStyle name="Normal 86" xfId="136" xr:uid="{00000000-0005-0000-0000-000080010000}"/>
    <cellStyle name="Normal 87" xfId="137" xr:uid="{00000000-0005-0000-0000-000081010000}"/>
    <cellStyle name="Normal 88" xfId="138" xr:uid="{00000000-0005-0000-0000-000082010000}"/>
    <cellStyle name="Normal 89" xfId="139" xr:uid="{00000000-0005-0000-0000-000083010000}"/>
    <cellStyle name="Normal 9" xfId="15" xr:uid="{00000000-0005-0000-0000-000084010000}"/>
    <cellStyle name="Normal 9 2" xfId="293" xr:uid="{00000000-0005-0000-0000-000085010000}"/>
    <cellStyle name="Normal 9 3" xfId="292" xr:uid="{00000000-0005-0000-0000-000086010000}"/>
    <cellStyle name="Normal 90" xfId="140" xr:uid="{00000000-0005-0000-0000-000087010000}"/>
    <cellStyle name="Normal 91" xfId="141" xr:uid="{00000000-0005-0000-0000-000088010000}"/>
    <cellStyle name="Normal 92" xfId="142" xr:uid="{00000000-0005-0000-0000-000089010000}"/>
    <cellStyle name="Normal 93" xfId="143" xr:uid="{00000000-0005-0000-0000-00008A010000}"/>
    <cellStyle name="Normal 94" xfId="144" xr:uid="{00000000-0005-0000-0000-00008B010000}"/>
    <cellStyle name="Normal 95" xfId="145" xr:uid="{00000000-0005-0000-0000-00008C010000}"/>
    <cellStyle name="Normal 96" xfId="146" xr:uid="{00000000-0005-0000-0000-00008D010000}"/>
    <cellStyle name="Normal 97" xfId="147" xr:uid="{00000000-0005-0000-0000-00008E010000}"/>
    <cellStyle name="Normal 98" xfId="148" xr:uid="{00000000-0005-0000-0000-00008F010000}"/>
    <cellStyle name="Normal 99" xfId="149" xr:uid="{00000000-0005-0000-0000-000090010000}"/>
    <cellStyle name="Note 2" xfId="67" xr:uid="{00000000-0005-0000-0000-000091010000}"/>
    <cellStyle name="Note 2 2" xfId="78" xr:uid="{00000000-0005-0000-0000-000092010000}"/>
    <cellStyle name="Note 2 2 2" xfId="295" xr:uid="{00000000-0005-0000-0000-000093010000}"/>
    <cellStyle name="Note 2 3" xfId="294" xr:uid="{00000000-0005-0000-0000-000094010000}"/>
    <cellStyle name="Note 3" xfId="296" xr:uid="{00000000-0005-0000-0000-000095010000}"/>
    <cellStyle name="Note 3 2" xfId="297" xr:uid="{00000000-0005-0000-0000-000096010000}"/>
    <cellStyle name="Note 4" xfId="298" xr:uid="{00000000-0005-0000-0000-000097010000}"/>
    <cellStyle name="Note 5" xfId="420" xr:uid="{00000000-0005-0000-0000-000098010000}"/>
    <cellStyle name="Output 2" xfId="68" xr:uid="{00000000-0005-0000-0000-000099010000}"/>
    <cellStyle name="Output 3" xfId="299" xr:uid="{00000000-0005-0000-0000-00009A010000}"/>
    <cellStyle name="Output 4" xfId="300" xr:uid="{00000000-0005-0000-0000-00009B010000}"/>
    <cellStyle name="Output 5" xfId="421" xr:uid="{00000000-0005-0000-0000-00009C010000}"/>
    <cellStyle name="Percent" xfId="1" builtinId="5"/>
    <cellStyle name="Percent 2" xfId="87" xr:uid="{00000000-0005-0000-0000-00009E010000}"/>
    <cellStyle name="Percent 2 2" xfId="301" xr:uid="{00000000-0005-0000-0000-00009F010000}"/>
    <cellStyle name="Percent 3" xfId="422" xr:uid="{00000000-0005-0000-0000-0000A0010000}"/>
    <cellStyle name="Percent 4" xfId="434" xr:uid="{00000000-0005-0000-0000-0000DE010000}"/>
    <cellStyle name="Style 1" xfId="302" xr:uid="{00000000-0005-0000-0000-0000A1010000}"/>
    <cellStyle name="Style 1 2" xfId="303" xr:uid="{00000000-0005-0000-0000-0000A2010000}"/>
    <cellStyle name="Title 2" xfId="69" xr:uid="{00000000-0005-0000-0000-0000A3010000}"/>
    <cellStyle name="Title 3" xfId="304" xr:uid="{00000000-0005-0000-0000-0000A4010000}"/>
    <cellStyle name="Title 4" xfId="305" xr:uid="{00000000-0005-0000-0000-0000A5010000}"/>
    <cellStyle name="Title 5" xfId="423" xr:uid="{00000000-0005-0000-0000-0000A6010000}"/>
    <cellStyle name="Total 2" xfId="70" xr:uid="{00000000-0005-0000-0000-0000A7010000}"/>
    <cellStyle name="Total 3" xfId="306" xr:uid="{00000000-0005-0000-0000-0000A8010000}"/>
    <cellStyle name="Total 4" xfId="307" xr:uid="{00000000-0005-0000-0000-0000A9010000}"/>
    <cellStyle name="Total 5" xfId="424" xr:uid="{00000000-0005-0000-0000-0000AA010000}"/>
    <cellStyle name="Warning Text 2" xfId="71" xr:uid="{00000000-0005-0000-0000-0000AB010000}"/>
    <cellStyle name="Warning Text 3" xfId="308" xr:uid="{00000000-0005-0000-0000-0000AC010000}"/>
    <cellStyle name="Warning Text 4" xfId="309" xr:uid="{00000000-0005-0000-0000-0000AD010000}"/>
    <cellStyle name="Warning Text 5" xfId="425" xr:uid="{00000000-0005-0000-0000-0000AE010000}"/>
    <cellStyle name="표준_BS(수정후200602)" xfId="310" xr:uid="{00000000-0005-0000-0000-0000AF010000}"/>
  </cellStyles>
  <dxfs count="0"/>
  <tableStyles count="0" defaultTableStyle="TableStyleMedium2" defaultPivotStyle="PivotStyleLight16"/>
  <colors>
    <mruColors>
      <color rgb="FF96CAC4"/>
      <color rgb="FF404040"/>
      <color rgb="FFD4C029"/>
      <color rgb="FF15C029"/>
      <color rgb="FF006E59"/>
      <color rgb="FFC00000"/>
      <color rgb="FFCE8E8D"/>
      <color rgb="FFC0504D"/>
      <color rgb="FF206E63"/>
      <color rgb="FFD2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4.xml"/><Relationship Id="rId26" Type="http://schemas.openxmlformats.org/officeDocument/2006/relationships/worksheet" Target="worksheets/sheet19.xml"/><Relationship Id="rId39" Type="http://schemas.openxmlformats.org/officeDocument/2006/relationships/worksheet" Target="worksheets/sheet28.xml"/><Relationship Id="rId21" Type="http://schemas.openxmlformats.org/officeDocument/2006/relationships/chartsheet" Target="chartsheets/sheet5.xml"/><Relationship Id="rId34" Type="http://schemas.openxmlformats.org/officeDocument/2006/relationships/worksheet" Target="worksheets/sheet24.xml"/><Relationship Id="rId42" Type="http://schemas.openxmlformats.org/officeDocument/2006/relationships/worksheet" Target="worksheets/sheet30.xml"/><Relationship Id="rId47" Type="http://schemas.openxmlformats.org/officeDocument/2006/relationships/chartsheet" Target="chartsheets/sheet13.xml"/><Relationship Id="rId50" Type="http://schemas.openxmlformats.org/officeDocument/2006/relationships/worksheet" Target="worksheets/sheet36.xml"/><Relationship Id="rId55" Type="http://schemas.openxmlformats.org/officeDocument/2006/relationships/calcChain" Target="calcChain.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3.xml"/><Relationship Id="rId29" Type="http://schemas.openxmlformats.org/officeDocument/2006/relationships/chartsheet" Target="chartsheets/sheet9.xml"/><Relationship Id="rId11" Type="http://schemas.openxmlformats.org/officeDocument/2006/relationships/worksheet" Target="worksheets/sheet9.xml"/><Relationship Id="rId24" Type="http://schemas.openxmlformats.org/officeDocument/2006/relationships/worksheet" Target="worksheets/sheet18.xml"/><Relationship Id="rId32" Type="http://schemas.openxmlformats.org/officeDocument/2006/relationships/worksheet" Target="worksheets/sheet22.xml"/><Relationship Id="rId37" Type="http://schemas.openxmlformats.org/officeDocument/2006/relationships/worksheet" Target="worksheets/sheet27.xml"/><Relationship Id="rId40" Type="http://schemas.openxmlformats.org/officeDocument/2006/relationships/chartsheet" Target="chartsheets/sheet12.xml"/><Relationship Id="rId45" Type="http://schemas.openxmlformats.org/officeDocument/2006/relationships/worksheet" Target="worksheets/sheet33.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4.xml"/><Relationship Id="rId19"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worksheet" Target="worksheets/sheet17.xml"/><Relationship Id="rId27" Type="http://schemas.openxmlformats.org/officeDocument/2006/relationships/chartsheet" Target="chartsheets/sheet8.xml"/><Relationship Id="rId30" Type="http://schemas.openxmlformats.org/officeDocument/2006/relationships/worksheet" Target="worksheets/sheet21.xml"/><Relationship Id="rId35" Type="http://schemas.openxmlformats.org/officeDocument/2006/relationships/worksheet" Target="worksheets/sheet25.xml"/><Relationship Id="rId43" Type="http://schemas.openxmlformats.org/officeDocument/2006/relationships/worksheet" Target="worksheets/sheet31.xml"/><Relationship Id="rId48" Type="http://schemas.openxmlformats.org/officeDocument/2006/relationships/worksheet" Target="worksheets/sheet35.xml"/><Relationship Id="rId56" Type="http://schemas.openxmlformats.org/officeDocument/2006/relationships/customXml" Target="../customXml/item1.xml"/><Relationship Id="rId8" Type="http://schemas.openxmlformats.org/officeDocument/2006/relationships/chartsheet" Target="chartsheets/sheet2.xml"/><Relationship Id="rId51" Type="http://schemas.openxmlformats.org/officeDocument/2006/relationships/worksheet" Target="worksheets/sheet37.xml"/><Relationship Id="rId3" Type="http://schemas.openxmlformats.org/officeDocument/2006/relationships/worksheet" Target="worksheets/sheet3.xml"/><Relationship Id="rId12" Type="http://schemas.openxmlformats.org/officeDocument/2006/relationships/worksheet" Target="worksheets/sheet10.xml"/><Relationship Id="rId17" Type="http://schemas.openxmlformats.org/officeDocument/2006/relationships/chartsheet" Target="chartsheets/sheet4.xml"/><Relationship Id="rId25" Type="http://schemas.openxmlformats.org/officeDocument/2006/relationships/chartsheet" Target="chartsheets/sheet7.xml"/><Relationship Id="rId33" Type="http://schemas.openxmlformats.org/officeDocument/2006/relationships/worksheet" Target="worksheets/sheet23.xml"/><Relationship Id="rId38" Type="http://schemas.openxmlformats.org/officeDocument/2006/relationships/chartsheet" Target="chartsheets/sheet11.xml"/><Relationship Id="rId46" Type="http://schemas.openxmlformats.org/officeDocument/2006/relationships/worksheet" Target="worksheets/sheet34.xml"/><Relationship Id="rId20" Type="http://schemas.openxmlformats.org/officeDocument/2006/relationships/worksheet" Target="worksheets/sheet16.xml"/><Relationship Id="rId41" Type="http://schemas.openxmlformats.org/officeDocument/2006/relationships/worksheet" Target="worksheets/sheet2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hartsheet" Target="chartsheets/sheet6.xml"/><Relationship Id="rId28" Type="http://schemas.openxmlformats.org/officeDocument/2006/relationships/worksheet" Target="worksheets/sheet20.xml"/><Relationship Id="rId36" Type="http://schemas.openxmlformats.org/officeDocument/2006/relationships/worksheet" Target="worksheets/sheet26.xml"/><Relationship Id="rId49" Type="http://schemas.openxmlformats.org/officeDocument/2006/relationships/chartsheet" Target="chartsheets/sheet14.xml"/><Relationship Id="rId57" Type="http://schemas.openxmlformats.org/officeDocument/2006/relationships/customXml" Target="../customXml/item2.xml"/><Relationship Id="rId10" Type="http://schemas.openxmlformats.org/officeDocument/2006/relationships/worksheet" Target="worksheets/sheet8.xml"/><Relationship Id="rId31" Type="http://schemas.openxmlformats.org/officeDocument/2006/relationships/chartsheet" Target="chartsheets/sheet10.xml"/><Relationship Id="rId44" Type="http://schemas.openxmlformats.org/officeDocument/2006/relationships/worksheet" Target="worksheets/sheet32.xml"/><Relationship Id="rId5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solidFill>
                  <a:srgbClr val="006E59"/>
                </a:solidFill>
                <a:latin typeface="Heuristica" panose="02020603050705020204" pitchFamily="18" charset="0"/>
              </a:defRPr>
            </a:pPr>
            <a:r>
              <a:rPr lang="en-US" sz="1800">
                <a:solidFill>
                  <a:srgbClr val="006E59"/>
                </a:solidFill>
                <a:latin typeface="Heuristica" panose="02020603050705020204" pitchFamily="18" charset="0"/>
              </a:rPr>
              <a:t>Chart 1.1 : </a:t>
            </a:r>
            <a:r>
              <a:rPr lang="en-US" sz="1800">
                <a:solidFill>
                  <a:srgbClr val="D4C029"/>
                </a:solidFill>
                <a:latin typeface="Heuristica" panose="02020603050705020204" pitchFamily="18" charset="0"/>
              </a:rPr>
              <a:t>Currency in Circulation</a:t>
            </a:r>
          </a:p>
        </c:rich>
      </c:tx>
      <c:layout>
        <c:manualLayout>
          <c:xMode val="edge"/>
          <c:yMode val="edge"/>
          <c:x val="0.29186297827141111"/>
          <c:y val="1.3759166467827886E-2"/>
        </c:manualLayout>
      </c:layout>
      <c:overlay val="0"/>
    </c:title>
    <c:autoTitleDeleted val="0"/>
    <c:plotArea>
      <c:layout>
        <c:manualLayout>
          <c:layoutTarget val="inner"/>
          <c:xMode val="edge"/>
          <c:yMode val="edge"/>
          <c:x val="8.7145842473503127E-2"/>
          <c:y val="7.4086057424640098E-2"/>
          <c:w val="0.89437673594829115"/>
          <c:h val="0.7464266284896206"/>
        </c:manualLayout>
      </c:layout>
      <c:lineChart>
        <c:grouping val="standard"/>
        <c:varyColors val="0"/>
        <c:ser>
          <c:idx val="0"/>
          <c:order val="0"/>
          <c:tx>
            <c:v>Currency in Circulation</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B1A-4AC5-946C-22637714EB7A}"/>
                </c:ext>
              </c:extLst>
            </c:dLbl>
            <c:dLbl>
              <c:idx val="1"/>
              <c:delete val="1"/>
              <c:extLst>
                <c:ext xmlns:c15="http://schemas.microsoft.com/office/drawing/2012/chart" uri="{CE6537A1-D6FC-4f65-9D91-7224C49458BB}"/>
                <c:ext xmlns:c16="http://schemas.microsoft.com/office/drawing/2014/chart" uri="{C3380CC4-5D6E-409C-BE32-E72D297353CC}">
                  <c16:uniqueId val="{00000001-FB1A-4AC5-946C-22637714EB7A}"/>
                </c:ext>
              </c:extLst>
            </c:dLbl>
            <c:dLbl>
              <c:idx val="2"/>
              <c:delete val="1"/>
              <c:extLst>
                <c:ext xmlns:c15="http://schemas.microsoft.com/office/drawing/2012/chart" uri="{CE6537A1-D6FC-4f65-9D91-7224C49458BB}"/>
                <c:ext xmlns:c16="http://schemas.microsoft.com/office/drawing/2014/chart" uri="{C3380CC4-5D6E-409C-BE32-E72D297353CC}">
                  <c16:uniqueId val="{00000002-FB1A-4AC5-946C-22637714EB7A}"/>
                </c:ext>
              </c:extLst>
            </c:dLbl>
            <c:dLbl>
              <c:idx val="3"/>
              <c:delete val="1"/>
              <c:extLst>
                <c:ext xmlns:c15="http://schemas.microsoft.com/office/drawing/2012/chart" uri="{CE6537A1-D6FC-4f65-9D91-7224C49458BB}"/>
                <c:ext xmlns:c16="http://schemas.microsoft.com/office/drawing/2014/chart" uri="{C3380CC4-5D6E-409C-BE32-E72D297353CC}">
                  <c16:uniqueId val="{00000003-FB1A-4AC5-946C-22637714EB7A}"/>
                </c:ext>
              </c:extLst>
            </c:dLbl>
            <c:dLbl>
              <c:idx val="4"/>
              <c:delete val="1"/>
              <c:extLst>
                <c:ext xmlns:c15="http://schemas.microsoft.com/office/drawing/2012/chart" uri="{CE6537A1-D6FC-4f65-9D91-7224C49458BB}"/>
                <c:ext xmlns:c16="http://schemas.microsoft.com/office/drawing/2014/chart" uri="{C3380CC4-5D6E-409C-BE32-E72D297353CC}">
                  <c16:uniqueId val="{00000004-FB1A-4AC5-946C-22637714EB7A}"/>
                </c:ext>
              </c:extLst>
            </c:dLbl>
            <c:dLbl>
              <c:idx val="5"/>
              <c:delete val="1"/>
              <c:extLst>
                <c:ext xmlns:c15="http://schemas.microsoft.com/office/drawing/2012/chart" uri="{CE6537A1-D6FC-4f65-9D91-7224C49458BB}"/>
                <c:ext xmlns:c16="http://schemas.microsoft.com/office/drawing/2014/chart" uri="{C3380CC4-5D6E-409C-BE32-E72D297353CC}">
                  <c16:uniqueId val="{00000005-FB1A-4AC5-946C-22637714EB7A}"/>
                </c:ext>
              </c:extLst>
            </c:dLbl>
            <c:dLbl>
              <c:idx val="6"/>
              <c:delete val="1"/>
              <c:extLst>
                <c:ext xmlns:c15="http://schemas.microsoft.com/office/drawing/2012/chart" uri="{CE6537A1-D6FC-4f65-9D91-7224C49458BB}"/>
                <c:ext xmlns:c16="http://schemas.microsoft.com/office/drawing/2014/chart" uri="{C3380CC4-5D6E-409C-BE32-E72D297353CC}">
                  <c16:uniqueId val="{00000006-FB1A-4AC5-946C-22637714EB7A}"/>
                </c:ext>
              </c:extLst>
            </c:dLbl>
            <c:dLbl>
              <c:idx val="7"/>
              <c:delete val="1"/>
              <c:extLst>
                <c:ext xmlns:c15="http://schemas.microsoft.com/office/drawing/2012/chart" uri="{CE6537A1-D6FC-4f65-9D91-7224C49458BB}"/>
                <c:ext xmlns:c16="http://schemas.microsoft.com/office/drawing/2014/chart" uri="{C3380CC4-5D6E-409C-BE32-E72D297353CC}">
                  <c16:uniqueId val="{00000007-FB1A-4AC5-946C-22637714EB7A}"/>
                </c:ext>
              </c:extLst>
            </c:dLbl>
            <c:dLbl>
              <c:idx val="8"/>
              <c:delete val="1"/>
              <c:extLst>
                <c:ext xmlns:c15="http://schemas.microsoft.com/office/drawing/2012/chart" uri="{CE6537A1-D6FC-4f65-9D91-7224C49458BB}"/>
                <c:ext xmlns:c16="http://schemas.microsoft.com/office/drawing/2014/chart" uri="{C3380CC4-5D6E-409C-BE32-E72D297353CC}">
                  <c16:uniqueId val="{00000008-FB1A-4AC5-946C-22637714EB7A}"/>
                </c:ext>
              </c:extLst>
            </c:dLbl>
            <c:dLbl>
              <c:idx val="9"/>
              <c:delete val="1"/>
              <c:extLst>
                <c:ext xmlns:c15="http://schemas.microsoft.com/office/drawing/2012/chart" uri="{CE6537A1-D6FC-4f65-9D91-7224C49458BB}"/>
                <c:ext xmlns:c16="http://schemas.microsoft.com/office/drawing/2014/chart" uri="{C3380CC4-5D6E-409C-BE32-E72D297353CC}">
                  <c16:uniqueId val="{00000009-FB1A-4AC5-946C-22637714EB7A}"/>
                </c:ext>
              </c:extLst>
            </c:dLbl>
            <c:dLbl>
              <c:idx val="10"/>
              <c:delete val="1"/>
              <c:extLst>
                <c:ext xmlns:c15="http://schemas.microsoft.com/office/drawing/2012/chart" uri="{CE6537A1-D6FC-4f65-9D91-7224C49458BB}"/>
                <c:ext xmlns:c16="http://schemas.microsoft.com/office/drawing/2014/chart" uri="{C3380CC4-5D6E-409C-BE32-E72D297353CC}">
                  <c16:uniqueId val="{0000000A-FB1A-4AC5-946C-22637714EB7A}"/>
                </c:ext>
              </c:extLst>
            </c:dLbl>
            <c:dLbl>
              <c:idx val="11"/>
              <c:delete val="1"/>
              <c:extLst>
                <c:ext xmlns:c15="http://schemas.microsoft.com/office/drawing/2012/chart" uri="{CE6537A1-D6FC-4f65-9D91-7224C49458BB}"/>
                <c:ext xmlns:c16="http://schemas.microsoft.com/office/drawing/2014/chart" uri="{C3380CC4-5D6E-409C-BE32-E72D297353CC}">
                  <c16:uniqueId val="{0000000B-FB1A-4AC5-946C-22637714EB7A}"/>
                </c:ext>
              </c:extLst>
            </c:dLbl>
            <c:dLbl>
              <c:idx val="12"/>
              <c:delete val="1"/>
              <c:extLst>
                <c:ext xmlns:c15="http://schemas.microsoft.com/office/drawing/2012/chart" uri="{CE6537A1-D6FC-4f65-9D91-7224C49458BB}"/>
                <c:ext xmlns:c16="http://schemas.microsoft.com/office/drawing/2014/chart" uri="{C3380CC4-5D6E-409C-BE32-E72D297353CC}">
                  <c16:uniqueId val="{00000000-0845-4103-B704-C4DF73BEFAB5}"/>
                </c:ext>
              </c:extLst>
            </c:dLbl>
            <c:dLbl>
              <c:idx val="13"/>
              <c:delete val="1"/>
              <c:extLst>
                <c:ext xmlns:c15="http://schemas.microsoft.com/office/drawing/2012/chart" uri="{CE6537A1-D6FC-4f65-9D91-7224C49458BB}"/>
                <c:ext xmlns:c16="http://schemas.microsoft.com/office/drawing/2014/chart" uri="{C3380CC4-5D6E-409C-BE32-E72D297353CC}">
                  <c16:uniqueId val="{00000001-0845-4103-B704-C4DF73BEFAB5}"/>
                </c:ext>
              </c:extLst>
            </c:dLbl>
            <c:dLbl>
              <c:idx val="14"/>
              <c:delete val="1"/>
              <c:extLst>
                <c:ext xmlns:c15="http://schemas.microsoft.com/office/drawing/2012/chart" uri="{CE6537A1-D6FC-4f65-9D91-7224C49458BB}"/>
                <c:ext xmlns:c16="http://schemas.microsoft.com/office/drawing/2014/chart" uri="{C3380CC4-5D6E-409C-BE32-E72D297353CC}">
                  <c16:uniqueId val="{00000002-0845-4103-B704-C4DF73BEFAB5}"/>
                </c:ext>
              </c:extLst>
            </c:dLbl>
            <c:dLbl>
              <c:idx val="15"/>
              <c:delete val="1"/>
              <c:extLst>
                <c:ext xmlns:c15="http://schemas.microsoft.com/office/drawing/2012/chart" uri="{CE6537A1-D6FC-4f65-9D91-7224C49458BB}"/>
                <c:ext xmlns:c16="http://schemas.microsoft.com/office/drawing/2014/chart" uri="{C3380CC4-5D6E-409C-BE32-E72D297353CC}">
                  <c16:uniqueId val="{00000003-0845-4103-B704-C4DF73BEFAB5}"/>
                </c:ext>
              </c:extLst>
            </c:dLbl>
            <c:dLbl>
              <c:idx val="16"/>
              <c:delete val="1"/>
              <c:extLst>
                <c:ext xmlns:c15="http://schemas.microsoft.com/office/drawing/2012/chart" uri="{CE6537A1-D6FC-4f65-9D91-7224C49458BB}"/>
                <c:ext xmlns:c16="http://schemas.microsoft.com/office/drawing/2014/chart" uri="{C3380CC4-5D6E-409C-BE32-E72D297353CC}">
                  <c16:uniqueId val="{00000004-0845-4103-B704-C4DF73BEFAB5}"/>
                </c:ext>
              </c:extLst>
            </c:dLbl>
            <c:dLbl>
              <c:idx val="17"/>
              <c:delete val="1"/>
              <c:extLst>
                <c:ext xmlns:c15="http://schemas.microsoft.com/office/drawing/2012/chart" uri="{CE6537A1-D6FC-4f65-9D91-7224C49458BB}"/>
                <c:ext xmlns:c16="http://schemas.microsoft.com/office/drawing/2014/chart" uri="{C3380CC4-5D6E-409C-BE32-E72D297353CC}">
                  <c16:uniqueId val="{00000005-0845-4103-B704-C4DF73BEFAB5}"/>
                </c:ext>
              </c:extLst>
            </c:dLbl>
            <c:dLbl>
              <c:idx val="18"/>
              <c:delete val="1"/>
              <c:extLst>
                <c:ext xmlns:c15="http://schemas.microsoft.com/office/drawing/2012/chart" uri="{CE6537A1-D6FC-4f65-9D91-7224C49458BB}"/>
                <c:ext xmlns:c16="http://schemas.microsoft.com/office/drawing/2014/chart" uri="{C3380CC4-5D6E-409C-BE32-E72D297353CC}">
                  <c16:uniqueId val="{00000006-0845-4103-B704-C4DF73BEFAB5}"/>
                </c:ext>
              </c:extLst>
            </c:dLbl>
            <c:dLbl>
              <c:idx val="19"/>
              <c:delete val="1"/>
              <c:extLst>
                <c:ext xmlns:c15="http://schemas.microsoft.com/office/drawing/2012/chart" uri="{CE6537A1-D6FC-4f65-9D91-7224C49458BB}"/>
                <c:ext xmlns:c16="http://schemas.microsoft.com/office/drawing/2014/chart" uri="{C3380CC4-5D6E-409C-BE32-E72D297353CC}">
                  <c16:uniqueId val="{00000007-0845-4103-B704-C4DF73BEFAB5}"/>
                </c:ext>
              </c:extLst>
            </c:dLbl>
            <c:dLbl>
              <c:idx val="20"/>
              <c:delete val="1"/>
              <c:extLst>
                <c:ext xmlns:c15="http://schemas.microsoft.com/office/drawing/2012/chart" uri="{CE6537A1-D6FC-4f65-9D91-7224C49458BB}"/>
                <c:ext xmlns:c16="http://schemas.microsoft.com/office/drawing/2014/chart" uri="{C3380CC4-5D6E-409C-BE32-E72D297353CC}">
                  <c16:uniqueId val="{00000008-0845-4103-B704-C4DF73BEFAB5}"/>
                </c:ext>
              </c:extLst>
            </c:dLbl>
            <c:dLbl>
              <c:idx val="21"/>
              <c:delete val="1"/>
              <c:extLst>
                <c:ext xmlns:c15="http://schemas.microsoft.com/office/drawing/2012/chart" uri="{CE6537A1-D6FC-4f65-9D91-7224C49458BB}"/>
                <c:ext xmlns:c16="http://schemas.microsoft.com/office/drawing/2014/chart" uri="{C3380CC4-5D6E-409C-BE32-E72D297353CC}">
                  <c16:uniqueId val="{00000009-0845-4103-B704-C4DF73BEFAB5}"/>
                </c:ext>
              </c:extLst>
            </c:dLbl>
            <c:dLbl>
              <c:idx val="22"/>
              <c:delete val="1"/>
              <c:extLst>
                <c:ext xmlns:c15="http://schemas.microsoft.com/office/drawing/2012/chart" uri="{CE6537A1-D6FC-4f65-9D91-7224C49458BB}"/>
                <c:ext xmlns:c16="http://schemas.microsoft.com/office/drawing/2014/chart" uri="{C3380CC4-5D6E-409C-BE32-E72D297353CC}">
                  <c16:uniqueId val="{0000000A-0845-4103-B704-C4DF73BEFAB5}"/>
                </c:ext>
              </c:extLst>
            </c:dLbl>
            <c:dLbl>
              <c:idx val="23"/>
              <c:delete val="1"/>
              <c:extLst>
                <c:ext xmlns:c15="http://schemas.microsoft.com/office/drawing/2012/chart" uri="{CE6537A1-D6FC-4f65-9D91-7224C49458BB}"/>
                <c:ext xmlns:c16="http://schemas.microsoft.com/office/drawing/2014/chart" uri="{C3380CC4-5D6E-409C-BE32-E72D297353CC}">
                  <c16:uniqueId val="{0000000B-0845-4103-B704-C4DF73BEFAB5}"/>
                </c:ext>
              </c:extLst>
            </c:dLbl>
            <c:dLbl>
              <c:idx val="24"/>
              <c:delete val="1"/>
              <c:extLst>
                <c:ext xmlns:c15="http://schemas.microsoft.com/office/drawing/2012/chart" uri="{CE6537A1-D6FC-4f65-9D91-7224C49458BB}"/>
                <c:ext xmlns:c16="http://schemas.microsoft.com/office/drawing/2014/chart" uri="{C3380CC4-5D6E-409C-BE32-E72D297353CC}">
                  <c16:uniqueId val="{0000000C-0845-4103-B704-C4DF73BEFAB5}"/>
                </c:ext>
              </c:extLst>
            </c:dLbl>
            <c:dLbl>
              <c:idx val="25"/>
              <c:delete val="1"/>
              <c:extLst>
                <c:ext xmlns:c15="http://schemas.microsoft.com/office/drawing/2012/chart" uri="{CE6537A1-D6FC-4f65-9D91-7224C49458BB}"/>
                <c:ext xmlns:c16="http://schemas.microsoft.com/office/drawing/2014/chart" uri="{C3380CC4-5D6E-409C-BE32-E72D297353CC}">
                  <c16:uniqueId val="{0000000D-0845-4103-B704-C4DF73BEFAB5}"/>
                </c:ext>
              </c:extLst>
            </c:dLbl>
            <c:dLbl>
              <c:idx val="26"/>
              <c:delete val="1"/>
              <c:extLst>
                <c:ext xmlns:c15="http://schemas.microsoft.com/office/drawing/2012/chart" uri="{CE6537A1-D6FC-4f65-9D91-7224C49458BB}"/>
                <c:ext xmlns:c16="http://schemas.microsoft.com/office/drawing/2014/chart" uri="{C3380CC4-5D6E-409C-BE32-E72D297353CC}">
                  <c16:uniqueId val="{0000000E-0845-4103-B704-C4DF73BEFAB5}"/>
                </c:ext>
              </c:extLst>
            </c:dLbl>
            <c:dLbl>
              <c:idx val="27"/>
              <c:delete val="1"/>
              <c:extLst>
                <c:ext xmlns:c15="http://schemas.microsoft.com/office/drawing/2012/chart" uri="{CE6537A1-D6FC-4f65-9D91-7224C49458BB}"/>
                <c:ext xmlns:c16="http://schemas.microsoft.com/office/drawing/2014/chart" uri="{C3380CC4-5D6E-409C-BE32-E72D297353CC}">
                  <c16:uniqueId val="{0000000F-0845-4103-B704-C4DF73BEFAB5}"/>
                </c:ext>
              </c:extLst>
            </c:dLbl>
            <c:dLbl>
              <c:idx val="28"/>
              <c:delete val="1"/>
              <c:extLst>
                <c:ext xmlns:c15="http://schemas.microsoft.com/office/drawing/2012/chart" uri="{CE6537A1-D6FC-4f65-9D91-7224C49458BB}"/>
                <c:ext xmlns:c16="http://schemas.microsoft.com/office/drawing/2014/chart" uri="{C3380CC4-5D6E-409C-BE32-E72D297353CC}">
                  <c16:uniqueId val="{00000010-0845-4103-B704-C4DF73BEFAB5}"/>
                </c:ext>
              </c:extLst>
            </c:dLbl>
            <c:dLbl>
              <c:idx val="29"/>
              <c:delete val="1"/>
              <c:extLst>
                <c:ext xmlns:c15="http://schemas.microsoft.com/office/drawing/2012/chart" uri="{CE6537A1-D6FC-4f65-9D91-7224C49458BB}"/>
                <c:ext xmlns:c16="http://schemas.microsoft.com/office/drawing/2014/chart" uri="{C3380CC4-5D6E-409C-BE32-E72D297353CC}">
                  <c16:uniqueId val="{00000011-0845-4103-B704-C4DF73BEFAB5}"/>
                </c:ext>
              </c:extLst>
            </c:dLbl>
            <c:dLbl>
              <c:idx val="30"/>
              <c:delete val="1"/>
              <c:extLst>
                <c:ext xmlns:c15="http://schemas.microsoft.com/office/drawing/2012/chart" uri="{CE6537A1-D6FC-4f65-9D91-7224C49458BB}"/>
                <c:ext xmlns:c16="http://schemas.microsoft.com/office/drawing/2014/chart" uri="{C3380CC4-5D6E-409C-BE32-E72D297353CC}">
                  <c16:uniqueId val="{00000012-0845-4103-B704-C4DF73BEFAB5}"/>
                </c:ext>
              </c:extLst>
            </c:dLbl>
            <c:dLbl>
              <c:idx val="31"/>
              <c:delete val="1"/>
              <c:extLst>
                <c:ext xmlns:c15="http://schemas.microsoft.com/office/drawing/2012/chart" uri="{CE6537A1-D6FC-4f65-9D91-7224C49458BB}"/>
                <c:ext xmlns:c16="http://schemas.microsoft.com/office/drawing/2014/chart" uri="{C3380CC4-5D6E-409C-BE32-E72D297353CC}">
                  <c16:uniqueId val="{00000013-0845-4103-B704-C4DF73BEFAB5}"/>
                </c:ext>
              </c:extLst>
            </c:dLbl>
            <c:dLbl>
              <c:idx val="32"/>
              <c:delete val="1"/>
              <c:extLst>
                <c:ext xmlns:c15="http://schemas.microsoft.com/office/drawing/2012/chart" uri="{CE6537A1-D6FC-4f65-9D91-7224C49458BB}"/>
                <c:ext xmlns:c16="http://schemas.microsoft.com/office/drawing/2014/chart" uri="{C3380CC4-5D6E-409C-BE32-E72D297353CC}">
                  <c16:uniqueId val="{00000014-0845-4103-B704-C4DF73BEFAB5}"/>
                </c:ext>
              </c:extLst>
            </c:dLbl>
            <c:dLbl>
              <c:idx val="33"/>
              <c:delete val="1"/>
              <c:extLst>
                <c:ext xmlns:c15="http://schemas.microsoft.com/office/drawing/2012/chart" uri="{CE6537A1-D6FC-4f65-9D91-7224C49458BB}"/>
                <c:ext xmlns:c16="http://schemas.microsoft.com/office/drawing/2014/chart" uri="{C3380CC4-5D6E-409C-BE32-E72D297353CC}">
                  <c16:uniqueId val="{00000015-0845-4103-B704-C4DF73BEFAB5}"/>
                </c:ext>
              </c:extLst>
            </c:dLbl>
            <c:dLbl>
              <c:idx val="34"/>
              <c:delete val="1"/>
              <c:extLst>
                <c:ext xmlns:c15="http://schemas.microsoft.com/office/drawing/2012/chart" uri="{CE6537A1-D6FC-4f65-9D91-7224C49458BB}"/>
                <c:ext xmlns:c16="http://schemas.microsoft.com/office/drawing/2014/chart" uri="{C3380CC4-5D6E-409C-BE32-E72D297353CC}">
                  <c16:uniqueId val="{00000016-0845-4103-B704-C4DF73BEFAB5}"/>
                </c:ext>
              </c:extLst>
            </c:dLbl>
            <c:dLbl>
              <c:idx val="35"/>
              <c:delete val="1"/>
              <c:extLst>
                <c:ext xmlns:c15="http://schemas.microsoft.com/office/drawing/2012/chart" uri="{CE6537A1-D6FC-4f65-9D91-7224C49458BB}"/>
                <c:ext xmlns:c16="http://schemas.microsoft.com/office/drawing/2014/chart" uri="{C3380CC4-5D6E-409C-BE32-E72D297353CC}">
                  <c16:uniqueId val="{00000017-0845-4103-B704-C4DF73BEFAB5}"/>
                </c:ext>
              </c:extLst>
            </c:dLbl>
            <c:dLbl>
              <c:idx val="36"/>
              <c:delete val="1"/>
              <c:extLst>
                <c:ext xmlns:c15="http://schemas.microsoft.com/office/drawing/2012/chart" uri="{CE6537A1-D6FC-4f65-9D91-7224C49458BB}"/>
                <c:ext xmlns:c16="http://schemas.microsoft.com/office/drawing/2014/chart" uri="{C3380CC4-5D6E-409C-BE32-E72D297353CC}">
                  <c16:uniqueId val="{00000018-0845-4103-B704-C4DF73BEFAB5}"/>
                </c:ext>
              </c:extLst>
            </c:dLbl>
            <c:dLbl>
              <c:idx val="37"/>
              <c:delete val="1"/>
              <c:extLst>
                <c:ext xmlns:c15="http://schemas.microsoft.com/office/drawing/2012/chart" uri="{CE6537A1-D6FC-4f65-9D91-7224C49458BB}"/>
                <c:ext xmlns:c16="http://schemas.microsoft.com/office/drawing/2014/chart" uri="{C3380CC4-5D6E-409C-BE32-E72D297353CC}">
                  <c16:uniqueId val="{00000019-0845-4103-B704-C4DF73BEFAB5}"/>
                </c:ext>
              </c:extLst>
            </c:dLbl>
            <c:dLbl>
              <c:idx val="38"/>
              <c:delete val="1"/>
              <c:extLst>
                <c:ext xmlns:c15="http://schemas.microsoft.com/office/drawing/2012/chart" uri="{CE6537A1-D6FC-4f65-9D91-7224C49458BB}"/>
                <c:ext xmlns:c16="http://schemas.microsoft.com/office/drawing/2014/chart" uri="{C3380CC4-5D6E-409C-BE32-E72D297353CC}">
                  <c16:uniqueId val="{0000001A-0845-4103-B704-C4DF73BEFAB5}"/>
                </c:ext>
              </c:extLst>
            </c:dLbl>
            <c:dLbl>
              <c:idx val="39"/>
              <c:delete val="1"/>
              <c:extLst>
                <c:ext xmlns:c15="http://schemas.microsoft.com/office/drawing/2012/chart" uri="{CE6537A1-D6FC-4f65-9D91-7224C49458BB}"/>
                <c:ext xmlns:c16="http://schemas.microsoft.com/office/drawing/2014/chart" uri="{C3380CC4-5D6E-409C-BE32-E72D297353CC}">
                  <c16:uniqueId val="{0000001B-0845-4103-B704-C4DF73BEFAB5}"/>
                </c:ext>
              </c:extLst>
            </c:dLbl>
            <c:dLbl>
              <c:idx val="40"/>
              <c:delete val="1"/>
              <c:extLst>
                <c:ext xmlns:c15="http://schemas.microsoft.com/office/drawing/2012/chart" uri="{CE6537A1-D6FC-4f65-9D91-7224C49458BB}"/>
                <c:ext xmlns:c16="http://schemas.microsoft.com/office/drawing/2014/chart" uri="{C3380CC4-5D6E-409C-BE32-E72D297353CC}">
                  <c16:uniqueId val="{0000001C-0845-4103-B704-C4DF73BEFAB5}"/>
                </c:ext>
              </c:extLst>
            </c:dLbl>
            <c:dLbl>
              <c:idx val="41"/>
              <c:delete val="1"/>
              <c:extLst>
                <c:ext xmlns:c15="http://schemas.microsoft.com/office/drawing/2012/chart" uri="{CE6537A1-D6FC-4f65-9D91-7224C49458BB}"/>
                <c:ext xmlns:c16="http://schemas.microsoft.com/office/drawing/2014/chart" uri="{C3380CC4-5D6E-409C-BE32-E72D297353CC}">
                  <c16:uniqueId val="{0000001D-0845-4103-B704-C4DF73BEFAB5}"/>
                </c:ext>
              </c:extLst>
            </c:dLbl>
            <c:dLbl>
              <c:idx val="42"/>
              <c:delete val="1"/>
              <c:extLst>
                <c:ext xmlns:c15="http://schemas.microsoft.com/office/drawing/2012/chart" uri="{CE6537A1-D6FC-4f65-9D91-7224C49458BB}"/>
                <c:ext xmlns:c16="http://schemas.microsoft.com/office/drawing/2014/chart" uri="{C3380CC4-5D6E-409C-BE32-E72D297353CC}">
                  <c16:uniqueId val="{0000001E-0845-4103-B704-C4DF73BEFAB5}"/>
                </c:ext>
              </c:extLst>
            </c:dLbl>
            <c:dLbl>
              <c:idx val="43"/>
              <c:delete val="1"/>
              <c:extLst>
                <c:ext xmlns:c15="http://schemas.microsoft.com/office/drawing/2012/chart" uri="{CE6537A1-D6FC-4f65-9D91-7224C49458BB}"/>
                <c:ext xmlns:c16="http://schemas.microsoft.com/office/drawing/2014/chart" uri="{C3380CC4-5D6E-409C-BE32-E72D297353CC}">
                  <c16:uniqueId val="{0000001F-0845-4103-B704-C4DF73BEFAB5}"/>
                </c:ext>
              </c:extLst>
            </c:dLbl>
            <c:dLbl>
              <c:idx val="44"/>
              <c:delete val="1"/>
              <c:extLst>
                <c:ext xmlns:c15="http://schemas.microsoft.com/office/drawing/2012/chart" uri="{CE6537A1-D6FC-4f65-9D91-7224C49458BB}"/>
                <c:ext xmlns:c16="http://schemas.microsoft.com/office/drawing/2014/chart" uri="{C3380CC4-5D6E-409C-BE32-E72D297353CC}">
                  <c16:uniqueId val="{00000020-0845-4103-B704-C4DF73BEFAB5}"/>
                </c:ext>
              </c:extLst>
            </c:dLbl>
            <c:dLbl>
              <c:idx val="45"/>
              <c:delete val="1"/>
              <c:extLst>
                <c:ext xmlns:c15="http://schemas.microsoft.com/office/drawing/2012/chart" uri="{CE6537A1-D6FC-4f65-9D91-7224C49458BB}"/>
                <c:ext xmlns:c16="http://schemas.microsoft.com/office/drawing/2014/chart" uri="{C3380CC4-5D6E-409C-BE32-E72D297353CC}">
                  <c16:uniqueId val="{00000021-0845-4103-B704-C4DF73BEFAB5}"/>
                </c:ext>
              </c:extLst>
            </c:dLbl>
            <c:dLbl>
              <c:idx val="46"/>
              <c:delete val="1"/>
              <c:extLst>
                <c:ext xmlns:c15="http://schemas.microsoft.com/office/drawing/2012/chart" uri="{CE6537A1-D6FC-4f65-9D91-7224C49458BB}"/>
                <c:ext xmlns:c16="http://schemas.microsoft.com/office/drawing/2014/chart" uri="{C3380CC4-5D6E-409C-BE32-E72D297353CC}">
                  <c16:uniqueId val="{00000022-0845-4103-B704-C4DF73BEFAB5}"/>
                </c:ext>
              </c:extLst>
            </c:dLbl>
            <c:dLbl>
              <c:idx val="47"/>
              <c:delete val="1"/>
              <c:extLst>
                <c:ext xmlns:c15="http://schemas.microsoft.com/office/drawing/2012/chart" uri="{CE6537A1-D6FC-4f65-9D91-7224C49458BB}"/>
                <c:ext xmlns:c16="http://schemas.microsoft.com/office/drawing/2014/chart" uri="{C3380CC4-5D6E-409C-BE32-E72D297353CC}">
                  <c16:uniqueId val="{00000023-0845-4103-B704-C4DF73BEFAB5}"/>
                </c:ext>
              </c:extLst>
            </c:dLbl>
            <c:dLbl>
              <c:idx val="48"/>
              <c:delete val="1"/>
              <c:extLst>
                <c:ext xmlns:c15="http://schemas.microsoft.com/office/drawing/2012/chart" uri="{CE6537A1-D6FC-4f65-9D91-7224C49458BB}"/>
                <c:ext xmlns:c16="http://schemas.microsoft.com/office/drawing/2014/chart" uri="{C3380CC4-5D6E-409C-BE32-E72D297353CC}">
                  <c16:uniqueId val="{00000030-A032-4628-9B6D-63E0B46A70CF}"/>
                </c:ext>
              </c:extLst>
            </c:dLbl>
            <c:dLbl>
              <c:idx val="49"/>
              <c:delete val="1"/>
              <c:extLst>
                <c:ext xmlns:c15="http://schemas.microsoft.com/office/drawing/2012/chart" uri="{CE6537A1-D6FC-4f65-9D91-7224C49458BB}"/>
                <c:ext xmlns:c16="http://schemas.microsoft.com/office/drawing/2014/chart" uri="{C3380CC4-5D6E-409C-BE32-E72D297353CC}">
                  <c16:uniqueId val="{00000031-A032-4628-9B6D-63E0B46A70CF}"/>
                </c:ext>
              </c:extLst>
            </c:dLbl>
            <c:dLbl>
              <c:idx val="50"/>
              <c:delete val="1"/>
              <c:extLst>
                <c:ext xmlns:c15="http://schemas.microsoft.com/office/drawing/2012/chart" uri="{CE6537A1-D6FC-4f65-9D91-7224C49458BB}"/>
                <c:ext xmlns:c16="http://schemas.microsoft.com/office/drawing/2014/chart" uri="{C3380CC4-5D6E-409C-BE32-E72D297353CC}">
                  <c16:uniqueId val="{00000032-A032-4628-9B6D-63E0B46A70CF}"/>
                </c:ext>
              </c:extLst>
            </c:dLbl>
            <c:dLbl>
              <c:idx val="51"/>
              <c:delete val="1"/>
              <c:extLst>
                <c:ext xmlns:c15="http://schemas.microsoft.com/office/drawing/2012/chart" uri="{CE6537A1-D6FC-4f65-9D91-7224C49458BB}"/>
                <c:ext xmlns:c16="http://schemas.microsoft.com/office/drawing/2014/chart" uri="{C3380CC4-5D6E-409C-BE32-E72D297353CC}">
                  <c16:uniqueId val="{00000033-A032-4628-9B6D-63E0B46A70CF}"/>
                </c:ext>
              </c:extLst>
            </c:dLbl>
            <c:dLbl>
              <c:idx val="52"/>
              <c:delete val="1"/>
              <c:extLst>
                <c:ext xmlns:c15="http://schemas.microsoft.com/office/drawing/2012/chart" uri="{CE6537A1-D6FC-4f65-9D91-7224C49458BB}"/>
                <c:ext xmlns:c16="http://schemas.microsoft.com/office/drawing/2014/chart" uri="{C3380CC4-5D6E-409C-BE32-E72D297353CC}">
                  <c16:uniqueId val="{00000034-A032-4628-9B6D-63E0B46A70CF}"/>
                </c:ext>
              </c:extLst>
            </c:dLbl>
            <c:dLbl>
              <c:idx val="53"/>
              <c:delete val="1"/>
              <c:extLst>
                <c:ext xmlns:c15="http://schemas.microsoft.com/office/drawing/2012/chart" uri="{CE6537A1-D6FC-4f65-9D91-7224C49458BB}"/>
                <c:ext xmlns:c16="http://schemas.microsoft.com/office/drawing/2014/chart" uri="{C3380CC4-5D6E-409C-BE32-E72D297353CC}">
                  <c16:uniqueId val="{00000035-A032-4628-9B6D-63E0B46A70CF}"/>
                </c:ext>
              </c:extLst>
            </c:dLbl>
            <c:dLbl>
              <c:idx val="54"/>
              <c:delete val="1"/>
              <c:extLst>
                <c:ext xmlns:c15="http://schemas.microsoft.com/office/drawing/2012/chart" uri="{CE6537A1-D6FC-4f65-9D91-7224C49458BB}"/>
                <c:ext xmlns:c16="http://schemas.microsoft.com/office/drawing/2014/chart" uri="{C3380CC4-5D6E-409C-BE32-E72D297353CC}">
                  <c16:uniqueId val="{00000036-A032-4628-9B6D-63E0B46A70CF}"/>
                </c:ext>
              </c:extLst>
            </c:dLbl>
            <c:dLbl>
              <c:idx val="55"/>
              <c:delete val="1"/>
              <c:extLst>
                <c:ext xmlns:c15="http://schemas.microsoft.com/office/drawing/2012/chart" uri="{CE6537A1-D6FC-4f65-9D91-7224C49458BB}"/>
                <c:ext xmlns:c16="http://schemas.microsoft.com/office/drawing/2014/chart" uri="{C3380CC4-5D6E-409C-BE32-E72D297353CC}">
                  <c16:uniqueId val="{00000037-A032-4628-9B6D-63E0B46A70CF}"/>
                </c:ext>
              </c:extLst>
            </c:dLbl>
            <c:dLbl>
              <c:idx val="56"/>
              <c:delete val="1"/>
              <c:extLst>
                <c:ext xmlns:c15="http://schemas.microsoft.com/office/drawing/2012/chart" uri="{CE6537A1-D6FC-4f65-9D91-7224C49458BB}"/>
                <c:ext xmlns:c16="http://schemas.microsoft.com/office/drawing/2014/chart" uri="{C3380CC4-5D6E-409C-BE32-E72D297353CC}">
                  <c16:uniqueId val="{00000038-A032-4628-9B6D-63E0B46A70CF}"/>
                </c:ext>
              </c:extLst>
            </c:dLbl>
            <c:dLbl>
              <c:idx val="57"/>
              <c:delete val="1"/>
              <c:extLst>
                <c:ext xmlns:c15="http://schemas.microsoft.com/office/drawing/2012/chart" uri="{CE6537A1-D6FC-4f65-9D91-7224C49458BB}"/>
                <c:ext xmlns:c16="http://schemas.microsoft.com/office/drawing/2014/chart" uri="{C3380CC4-5D6E-409C-BE32-E72D297353CC}">
                  <c16:uniqueId val="{00000039-A032-4628-9B6D-63E0B46A70CF}"/>
                </c:ext>
              </c:extLst>
            </c:dLbl>
            <c:dLbl>
              <c:idx val="58"/>
              <c:delete val="1"/>
              <c:extLst>
                <c:ext xmlns:c15="http://schemas.microsoft.com/office/drawing/2012/chart" uri="{CE6537A1-D6FC-4f65-9D91-7224C49458BB}"/>
                <c:ext xmlns:c16="http://schemas.microsoft.com/office/drawing/2014/chart" uri="{C3380CC4-5D6E-409C-BE32-E72D297353CC}">
                  <c16:uniqueId val="{0000003A-A032-4628-9B6D-63E0B46A70CF}"/>
                </c:ext>
              </c:extLst>
            </c:dLbl>
            <c:dLbl>
              <c:idx val="59"/>
              <c:delete val="1"/>
              <c:extLst>
                <c:ext xmlns:c15="http://schemas.microsoft.com/office/drawing/2012/chart" uri="{CE6537A1-D6FC-4f65-9D91-7224C49458BB}"/>
                <c:ext xmlns:c16="http://schemas.microsoft.com/office/drawing/2014/chart" uri="{C3380CC4-5D6E-409C-BE32-E72D297353CC}">
                  <c16:uniqueId val="{0000003B-A032-4628-9B6D-63E0B46A70CF}"/>
                </c:ext>
              </c:extLst>
            </c:dLbl>
            <c:dLbl>
              <c:idx val="60"/>
              <c:delete val="1"/>
              <c:extLst>
                <c:ext xmlns:c15="http://schemas.microsoft.com/office/drawing/2012/chart" uri="{CE6537A1-D6FC-4f65-9D91-7224C49458BB}"/>
                <c:ext xmlns:c16="http://schemas.microsoft.com/office/drawing/2014/chart" uri="{C3380CC4-5D6E-409C-BE32-E72D297353CC}">
                  <c16:uniqueId val="{0000003C-A032-4628-9B6D-63E0B46A70CF}"/>
                </c:ext>
              </c:extLst>
            </c:dLbl>
            <c:dLbl>
              <c:idx val="61"/>
              <c:delete val="1"/>
              <c:extLst>
                <c:ext xmlns:c15="http://schemas.microsoft.com/office/drawing/2012/chart" uri="{CE6537A1-D6FC-4f65-9D91-7224C49458BB}"/>
                <c:ext xmlns:c16="http://schemas.microsoft.com/office/drawing/2014/chart" uri="{C3380CC4-5D6E-409C-BE32-E72D297353CC}">
                  <c16:uniqueId val="{0000003D-A032-4628-9B6D-63E0B46A70CF}"/>
                </c:ext>
              </c:extLst>
            </c:dLbl>
            <c:dLbl>
              <c:idx val="62"/>
              <c:delete val="1"/>
              <c:extLst>
                <c:ext xmlns:c15="http://schemas.microsoft.com/office/drawing/2012/chart" uri="{CE6537A1-D6FC-4f65-9D91-7224C49458BB}"/>
                <c:ext xmlns:c16="http://schemas.microsoft.com/office/drawing/2014/chart" uri="{C3380CC4-5D6E-409C-BE32-E72D297353CC}">
                  <c16:uniqueId val="{0000003E-A032-4628-9B6D-63E0B46A70CF}"/>
                </c:ext>
              </c:extLst>
            </c:dLbl>
            <c:dLbl>
              <c:idx val="63"/>
              <c:delete val="1"/>
              <c:extLst>
                <c:ext xmlns:c15="http://schemas.microsoft.com/office/drawing/2012/chart" uri="{CE6537A1-D6FC-4f65-9D91-7224C49458BB}"/>
                <c:ext xmlns:c16="http://schemas.microsoft.com/office/drawing/2014/chart" uri="{C3380CC4-5D6E-409C-BE32-E72D297353CC}">
                  <c16:uniqueId val="{0000003F-A032-4628-9B6D-63E0B46A70CF}"/>
                </c:ext>
              </c:extLst>
            </c:dLbl>
            <c:dLbl>
              <c:idx val="64"/>
              <c:delete val="1"/>
              <c:extLst>
                <c:ext xmlns:c15="http://schemas.microsoft.com/office/drawing/2012/chart" uri="{CE6537A1-D6FC-4f65-9D91-7224C49458BB}"/>
                <c:ext xmlns:c16="http://schemas.microsoft.com/office/drawing/2014/chart" uri="{C3380CC4-5D6E-409C-BE32-E72D297353CC}">
                  <c16:uniqueId val="{00000040-A032-4628-9B6D-63E0B46A70CF}"/>
                </c:ext>
              </c:extLst>
            </c:dLbl>
            <c:dLbl>
              <c:idx val="65"/>
              <c:layout>
                <c:manualLayout>
                  <c:x val="-5.8651026392962088E-2"/>
                  <c:y val="3.8802990535274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A032-4628-9B6D-63E0B46A70CF}"/>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'1.1'!$A$125:$B$190</c:f>
              <c:multiLvlStrCache>
                <c:ptCount val="6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lvl>
                <c:lvl>
                  <c:pt idx="0">
                    <c:v>2020</c:v>
                  </c:pt>
                  <c:pt idx="12">
                    <c:v>2021</c:v>
                  </c:pt>
                  <c:pt idx="24">
                    <c:v>2022</c:v>
                  </c:pt>
                  <c:pt idx="36">
                    <c:v>2023</c:v>
                  </c:pt>
                  <c:pt idx="48">
                    <c:v>2024</c:v>
                  </c:pt>
                  <c:pt idx="60">
                    <c:v>2025</c:v>
                  </c:pt>
                </c:lvl>
              </c:multiLvlStrCache>
            </c:multiLvlStrRef>
          </c:cat>
          <c:val>
            <c:numRef>
              <c:f>'1.1'!$C$125:$C$190</c:f>
              <c:numCache>
                <c:formatCode>#,##0.00_);[Red]\(#,##0.00\)</c:formatCode>
                <c:ptCount val="66"/>
                <c:pt idx="0">
                  <c:v>1226.1550337050001</c:v>
                </c:pt>
                <c:pt idx="1">
                  <c:v>1213.7304313550001</c:v>
                </c:pt>
                <c:pt idx="2">
                  <c:v>1231.7309025450002</c:v>
                </c:pt>
                <c:pt idx="3">
                  <c:v>1246.2998145050001</c:v>
                </c:pt>
                <c:pt idx="4">
                  <c:v>1290.584102945</c:v>
                </c:pt>
                <c:pt idx="5">
                  <c:v>1249.8312050049999</c:v>
                </c:pt>
                <c:pt idx="6">
                  <c:v>1258.2710294849999</c:v>
                </c:pt>
                <c:pt idx="7">
                  <c:v>1260.7618419949999</c:v>
                </c:pt>
                <c:pt idx="8">
                  <c:v>1268.7726502149999</c:v>
                </c:pt>
                <c:pt idx="9">
                  <c:v>1276.182928385</c:v>
                </c:pt>
                <c:pt idx="10">
                  <c:v>1282.7652951350001</c:v>
                </c:pt>
                <c:pt idx="11">
                  <c:v>1357.8005502349999</c:v>
                </c:pt>
                <c:pt idx="12">
                  <c:v>1321.3801006250001</c:v>
                </c:pt>
                <c:pt idx="13">
                  <c:v>1347.8479314649999</c:v>
                </c:pt>
                <c:pt idx="14">
                  <c:v>1346.6228701150001</c:v>
                </c:pt>
                <c:pt idx="15">
                  <c:v>1364.3448971150001</c:v>
                </c:pt>
                <c:pt idx="16">
                  <c:v>1351.225440355</c:v>
                </c:pt>
                <c:pt idx="17">
                  <c:v>1351.7359267250001</c:v>
                </c:pt>
                <c:pt idx="18">
                  <c:v>1344.580702555</c:v>
                </c:pt>
                <c:pt idx="19">
                  <c:v>1363.832463255</c:v>
                </c:pt>
                <c:pt idx="20">
                  <c:v>1345.9479682250001</c:v>
                </c:pt>
                <c:pt idx="21">
                  <c:v>1366.927286805</c:v>
                </c:pt>
                <c:pt idx="22">
                  <c:v>1369.624969965</c:v>
                </c:pt>
                <c:pt idx="23">
                  <c:v>1431.435541905</c:v>
                </c:pt>
                <c:pt idx="24">
                  <c:v>1432.9780901949998</c:v>
                </c:pt>
                <c:pt idx="25">
                  <c:v>1422.238044295</c:v>
                </c:pt>
                <c:pt idx="26">
                  <c:v>1431.644997225</c:v>
                </c:pt>
                <c:pt idx="27">
                  <c:v>1439.9572021050001</c:v>
                </c:pt>
                <c:pt idx="28">
                  <c:v>1411.179791045</c:v>
                </c:pt>
                <c:pt idx="29">
                  <c:v>1401.9744384350001</c:v>
                </c:pt>
                <c:pt idx="30">
                  <c:v>1391.1984591750002</c:v>
                </c:pt>
                <c:pt idx="31">
                  <c:v>1389.3364136350001</c:v>
                </c:pt>
                <c:pt idx="32">
                  <c:v>1364.258300165</c:v>
                </c:pt>
                <c:pt idx="33">
                  <c:v>1361.627465195</c:v>
                </c:pt>
                <c:pt idx="34">
                  <c:v>1359.1085463050001</c:v>
                </c:pt>
                <c:pt idx="35">
                  <c:v>1422.272677895</c:v>
                </c:pt>
                <c:pt idx="36">
                  <c:v>1414.357200315</c:v>
                </c:pt>
                <c:pt idx="37">
                  <c:v>1378.5778343049999</c:v>
                </c:pt>
                <c:pt idx="38">
                  <c:v>1384.827322415</c:v>
                </c:pt>
                <c:pt idx="39">
                  <c:v>1429.4063015649999</c:v>
                </c:pt>
                <c:pt idx="40">
                  <c:v>1363.4736073849999</c:v>
                </c:pt>
                <c:pt idx="41">
                  <c:v>1366.772190805</c:v>
                </c:pt>
                <c:pt idx="42">
                  <c:v>1367.0751393799999</c:v>
                </c:pt>
                <c:pt idx="43">
                  <c:v>1379.8850985899999</c:v>
                </c:pt>
                <c:pt idx="44">
                  <c:v>1361.4620344999998</c:v>
                </c:pt>
                <c:pt idx="45">
                  <c:v>1375.1801129</c:v>
                </c:pt>
                <c:pt idx="46">
                  <c:v>1363.3528906199999</c:v>
                </c:pt>
                <c:pt idx="47">
                  <c:v>1417.03190675</c:v>
                </c:pt>
                <c:pt idx="48">
                  <c:v>1408.37</c:v>
                </c:pt>
                <c:pt idx="49">
                  <c:v>1401.91</c:v>
                </c:pt>
                <c:pt idx="50">
                  <c:v>1408.44</c:v>
                </c:pt>
                <c:pt idx="51">
                  <c:v>1387.4680000000001</c:v>
                </c:pt>
                <c:pt idx="52">
                  <c:v>1363.4349999999999</c:v>
                </c:pt>
                <c:pt idx="53">
                  <c:v>1353.67</c:v>
                </c:pt>
                <c:pt idx="54">
                  <c:v>1363.9189999999999</c:v>
                </c:pt>
                <c:pt idx="55">
                  <c:v>1361.0700000000002</c:v>
                </c:pt>
                <c:pt idx="56">
                  <c:v>1362.47</c:v>
                </c:pt>
                <c:pt idx="57">
                  <c:v>1353.729</c:v>
                </c:pt>
                <c:pt idx="58">
                  <c:v>1356.99</c:v>
                </c:pt>
                <c:pt idx="59">
                  <c:v>1401.44</c:v>
                </c:pt>
                <c:pt idx="60">
                  <c:v>1437.0339999999999</c:v>
                </c:pt>
                <c:pt idx="61">
                  <c:v>1391.3799999999999</c:v>
                </c:pt>
                <c:pt idx="62">
                  <c:v>1410.6799999999998</c:v>
                </c:pt>
                <c:pt idx="63">
                  <c:v>1366.9290000000001</c:v>
                </c:pt>
                <c:pt idx="64">
                  <c:v>1350.271</c:v>
                </c:pt>
                <c:pt idx="65">
                  <c:v>1342.3610000000001</c:v>
                </c:pt>
              </c:numCache>
            </c:numRef>
          </c:val>
          <c:smooth val="0"/>
          <c:extLst>
            <c:ext xmlns:c16="http://schemas.microsoft.com/office/drawing/2014/chart" uri="{C3380CC4-5D6E-409C-BE32-E72D297353CC}">
              <c16:uniqueId val="{00000045-A032-4628-9B6D-63E0B46A70CF}"/>
            </c:ext>
          </c:extLst>
        </c:ser>
        <c:dLbls>
          <c:dLblPos val="t"/>
          <c:showLegendKey val="0"/>
          <c:showVal val="1"/>
          <c:showCatName val="0"/>
          <c:showSerName val="0"/>
          <c:showPercent val="0"/>
          <c:showBubbleSize val="0"/>
        </c:dLbls>
        <c:smooth val="0"/>
        <c:axId val="477832952"/>
        <c:axId val="477832560"/>
      </c:lineChart>
      <c:catAx>
        <c:axId val="477832952"/>
        <c:scaling>
          <c:orientation val="minMax"/>
        </c:scaling>
        <c:delete val="0"/>
        <c:axPos val="b"/>
        <c:numFmt formatCode="General" sourceLinked="0"/>
        <c:majorTickMark val="none"/>
        <c:minorTickMark val="none"/>
        <c:tickLblPos val="nextTo"/>
        <c:txPr>
          <a:bodyPr/>
          <a:lstStyle/>
          <a:p>
            <a:pPr>
              <a:defRPr sz="1000" b="0">
                <a:latin typeface="Geomanist" panose="02000503000000020004" pitchFamily="50" charset="0"/>
              </a:defRPr>
            </a:pPr>
            <a:endParaRPr lang="en-US"/>
          </a:p>
        </c:txPr>
        <c:crossAx val="477832560"/>
        <c:crosses val="autoZero"/>
        <c:auto val="1"/>
        <c:lblAlgn val="ctr"/>
        <c:lblOffset val="100"/>
        <c:tickLblSkip val="1"/>
        <c:noMultiLvlLbl val="0"/>
      </c:catAx>
      <c:valAx>
        <c:axId val="477832560"/>
        <c:scaling>
          <c:orientation val="minMax"/>
          <c:min val="11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1.069700048491006E-2"/>
              <c:y val="0.37390948858665402"/>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1">
                <a:latin typeface="Geomanist" panose="02000503000000020004" pitchFamily="50" charset="0"/>
              </a:defRPr>
            </a:pPr>
            <a:endParaRPr lang="en-US"/>
          </a:p>
        </c:txPr>
        <c:crossAx val="477832952"/>
        <c:crosses val="autoZero"/>
        <c:crossBetween val="between"/>
      </c:valAx>
      <c:spPr>
        <a:ln w="6350">
          <a:solidFill>
            <a:schemeClr val="bg1">
              <a:lumMod val="85000"/>
            </a:schemeClr>
          </a:solidFill>
        </a:ln>
      </c:spPr>
    </c:plotArea>
    <c:legend>
      <c:legendPos val="r"/>
      <c:layout>
        <c:manualLayout>
          <c:xMode val="edge"/>
          <c:yMode val="edge"/>
          <c:x val="0.34930842588957906"/>
          <c:y val="0.9312143482064742"/>
          <c:w val="0.29846930057496479"/>
          <c:h val="6.1666569762297799E-2"/>
        </c:manualLayout>
      </c:layout>
      <c:overlay val="0"/>
      <c:txPr>
        <a:bodyPr/>
        <a:lstStyle/>
        <a:p>
          <a:pPr>
            <a:defRPr sz="1100" b="1" i="0" baseline="0">
              <a:latin typeface="Geomanist" panose="02000503000000020004" pitchFamily="50" charset="0"/>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4.2: </a:t>
            </a:r>
            <a:r>
              <a:rPr lang="en-US" sz="2000" b="1">
                <a:solidFill>
                  <a:srgbClr val="D4C029"/>
                </a:solidFill>
                <a:latin typeface="Heuristica" panose="02020603050705020204" pitchFamily="18" charset="0"/>
              </a:rPr>
              <a:t>Value of Transactions by Property Type</a:t>
            </a:r>
          </a:p>
        </c:rich>
      </c:tx>
      <c:layout>
        <c:manualLayout>
          <c:xMode val="edge"/>
          <c:yMode val="edge"/>
          <c:x val="0.18501754912600737"/>
          <c:y val="1.3218802195180148E-2"/>
        </c:manualLayout>
      </c:layout>
      <c:overlay val="0"/>
      <c:spPr>
        <a:noFill/>
        <a:ln>
          <a:noFill/>
        </a:ln>
        <a:effectLst/>
      </c:spPr>
      <c:txPr>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2459533100884381E-2"/>
          <c:y val="9.8211761003340281E-2"/>
          <c:w val="0.89585147897568518"/>
          <c:h val="0.74861211005207895"/>
        </c:manualLayout>
      </c:layout>
      <c:barChart>
        <c:barDir val="col"/>
        <c:grouping val="stacked"/>
        <c:varyColors val="0"/>
        <c:ser>
          <c:idx val="1"/>
          <c:order val="1"/>
          <c:tx>
            <c:strRef>
              <c:f>'4.2'!$D$4</c:f>
              <c:strCache>
                <c:ptCount val="1"/>
                <c:pt idx="0">
                  <c:v>Detached</c:v>
                </c:pt>
              </c:strCache>
            </c:strRef>
          </c:tx>
          <c:spPr>
            <a:solidFill>
              <a:srgbClr val="EEE8B5"/>
            </a:solidFill>
            <a:ln>
              <a:solidFill>
                <a:srgbClr val="EEE8B5"/>
              </a:solidFill>
            </a:ln>
            <a:effectLst/>
          </c:spPr>
          <c:invertIfNegative val="0"/>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'4.2'!$D$5:$D$46</c:f>
              <c:numCache>
                <c:formatCode>#,##0.00</c:formatCode>
                <c:ptCount val="42"/>
                <c:pt idx="0">
                  <c:v>16.085599999999999</c:v>
                </c:pt>
                <c:pt idx="1">
                  <c:v>19.827279999999998</c:v>
                </c:pt>
                <c:pt idx="2">
                  <c:v>13.59774352</c:v>
                </c:pt>
                <c:pt idx="3">
                  <c:v>5.3129999999999997</c:v>
                </c:pt>
                <c:pt idx="4">
                  <c:v>11.740523</c:v>
                </c:pt>
                <c:pt idx="5">
                  <c:v>10.179497490000001</c:v>
                </c:pt>
                <c:pt idx="6">
                  <c:v>16.423817660000001</c:v>
                </c:pt>
                <c:pt idx="7">
                  <c:v>16.223100670000001</c:v>
                </c:pt>
                <c:pt idx="8">
                  <c:v>11.22519353</c:v>
                </c:pt>
                <c:pt idx="9">
                  <c:v>13.152834519999999</c:v>
                </c:pt>
                <c:pt idx="10">
                  <c:v>15.9449649</c:v>
                </c:pt>
                <c:pt idx="11">
                  <c:v>16.859966</c:v>
                </c:pt>
                <c:pt idx="12">
                  <c:v>13.9496</c:v>
                </c:pt>
                <c:pt idx="13">
                  <c:v>12.8568</c:v>
                </c:pt>
                <c:pt idx="14">
                  <c:v>17.82</c:v>
                </c:pt>
                <c:pt idx="15">
                  <c:v>22.7</c:v>
                </c:pt>
                <c:pt idx="16">
                  <c:v>17.690000000000001</c:v>
                </c:pt>
                <c:pt idx="17">
                  <c:v>18.300650000000001</c:v>
                </c:pt>
                <c:pt idx="18">
                  <c:v>18.5</c:v>
                </c:pt>
                <c:pt idx="19">
                  <c:v>14.6</c:v>
                </c:pt>
                <c:pt idx="20">
                  <c:v>6.6502559999999997</c:v>
                </c:pt>
                <c:pt idx="21">
                  <c:v>14.082969</c:v>
                </c:pt>
                <c:pt idx="22">
                  <c:v>26.5596</c:v>
                </c:pt>
                <c:pt idx="23">
                  <c:v>21.77315372</c:v>
                </c:pt>
                <c:pt idx="24">
                  <c:v>20.283253999999999</c:v>
                </c:pt>
                <c:pt idx="25">
                  <c:v>20.581351000000002</c:v>
                </c:pt>
                <c:pt idx="26">
                  <c:v>23.689570109999998</c:v>
                </c:pt>
                <c:pt idx="27">
                  <c:v>23.089149880000001</c:v>
                </c:pt>
                <c:pt idx="28">
                  <c:v>23.186522020000002</c:v>
                </c:pt>
                <c:pt idx="29">
                  <c:v>20.359373210000001</c:v>
                </c:pt>
                <c:pt idx="30">
                  <c:v>22.806774000000001</c:v>
                </c:pt>
                <c:pt idx="31">
                  <c:v>26.70420245</c:v>
                </c:pt>
                <c:pt idx="32">
                  <c:v>21.8</c:v>
                </c:pt>
                <c:pt idx="33">
                  <c:v>20.581076939999999</c:v>
                </c:pt>
                <c:pt idx="34">
                  <c:v>17.228100000000001</c:v>
                </c:pt>
                <c:pt idx="35">
                  <c:v>24.668776999999999</c:v>
                </c:pt>
                <c:pt idx="36">
                  <c:v>12.411099999999999</c:v>
                </c:pt>
                <c:pt idx="37">
                  <c:v>22.17943</c:v>
                </c:pt>
                <c:pt idx="38">
                  <c:v>21.844532999999998</c:v>
                </c:pt>
                <c:pt idx="39">
                  <c:v>21.44717683</c:v>
                </c:pt>
                <c:pt idx="40">
                  <c:v>15</c:v>
                </c:pt>
                <c:pt idx="41">
                  <c:v>25.255859749999999</c:v>
                </c:pt>
              </c:numCache>
            </c:numRef>
          </c:val>
          <c:extLst>
            <c:ext xmlns:c16="http://schemas.microsoft.com/office/drawing/2014/chart" uri="{C3380CC4-5D6E-409C-BE32-E72D297353CC}">
              <c16:uniqueId val="{00000000-9D49-4F68-9AE3-6B4584460A67}"/>
            </c:ext>
          </c:extLst>
        </c:ser>
        <c:ser>
          <c:idx val="2"/>
          <c:order val="2"/>
          <c:tx>
            <c:strRef>
              <c:f>'4.2'!$E$4</c:f>
              <c:strCache>
                <c:ptCount val="1"/>
                <c:pt idx="0">
                  <c:v>Semi-Detached</c:v>
                </c:pt>
              </c:strCache>
            </c:strRef>
          </c:tx>
          <c:spPr>
            <a:solidFill>
              <a:srgbClr val="D4C029"/>
            </a:solidFill>
            <a:ln>
              <a:solidFill>
                <a:srgbClr val="D4C029"/>
              </a:solidFill>
            </a:ln>
            <a:effectLst/>
          </c:spPr>
          <c:invertIfNegative val="0"/>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'4.2'!$E$5:$E$46</c:f>
              <c:numCache>
                <c:formatCode>#,##0.00</c:formatCode>
                <c:ptCount val="42"/>
                <c:pt idx="0">
                  <c:v>7.226</c:v>
                </c:pt>
                <c:pt idx="1">
                  <c:v>9.3424999999999994</c:v>
                </c:pt>
                <c:pt idx="2">
                  <c:v>2.5830000000000002</c:v>
                </c:pt>
                <c:pt idx="3">
                  <c:v>1.615</c:v>
                </c:pt>
                <c:pt idx="4">
                  <c:v>6.7140000000000004</c:v>
                </c:pt>
                <c:pt idx="5">
                  <c:v>4.2110000000000003</c:v>
                </c:pt>
                <c:pt idx="6">
                  <c:v>6.8193630000000001</c:v>
                </c:pt>
                <c:pt idx="7">
                  <c:v>6.0391472500000001</c:v>
                </c:pt>
                <c:pt idx="8">
                  <c:v>5.0150714599999997</c:v>
                </c:pt>
                <c:pt idx="9">
                  <c:v>3.0049000000000001</c:v>
                </c:pt>
                <c:pt idx="10">
                  <c:v>2.4948999999999999</c:v>
                </c:pt>
                <c:pt idx="11">
                  <c:v>2.9348999999999998</c:v>
                </c:pt>
                <c:pt idx="12">
                  <c:v>3.818622</c:v>
                </c:pt>
                <c:pt idx="13">
                  <c:v>4.5941000000000001</c:v>
                </c:pt>
                <c:pt idx="14">
                  <c:v>5.83</c:v>
                </c:pt>
                <c:pt idx="15">
                  <c:v>4.84</c:v>
                </c:pt>
                <c:pt idx="16">
                  <c:v>5.72</c:v>
                </c:pt>
                <c:pt idx="17">
                  <c:v>6.4669999999999996</c:v>
                </c:pt>
                <c:pt idx="18">
                  <c:v>4.9569000000000001</c:v>
                </c:pt>
                <c:pt idx="19">
                  <c:v>7.2</c:v>
                </c:pt>
                <c:pt idx="20">
                  <c:v>6.7670000000000003</c:v>
                </c:pt>
                <c:pt idx="21">
                  <c:v>7.8545499999999997</c:v>
                </c:pt>
                <c:pt idx="22">
                  <c:v>8.3390000000000004</c:v>
                </c:pt>
                <c:pt idx="23">
                  <c:v>6.8855000000000004</c:v>
                </c:pt>
                <c:pt idx="24">
                  <c:v>4.5609999999999999</c:v>
                </c:pt>
                <c:pt idx="25">
                  <c:v>4.8639999999999999</c:v>
                </c:pt>
                <c:pt idx="26">
                  <c:v>7.1230000000000002</c:v>
                </c:pt>
                <c:pt idx="27">
                  <c:v>3.8559999999999999</c:v>
                </c:pt>
                <c:pt idx="28">
                  <c:v>3.9849999999999999</c:v>
                </c:pt>
                <c:pt idx="29">
                  <c:v>5.8235000000000001</c:v>
                </c:pt>
                <c:pt idx="30">
                  <c:v>5.71</c:v>
                </c:pt>
                <c:pt idx="31">
                  <c:v>4.5441000000000003</c:v>
                </c:pt>
                <c:pt idx="32">
                  <c:v>2.9</c:v>
                </c:pt>
                <c:pt idx="33">
                  <c:v>6.5819999999999999</c:v>
                </c:pt>
                <c:pt idx="34">
                  <c:v>5.28</c:v>
                </c:pt>
                <c:pt idx="35">
                  <c:v>5.2290000000000001</c:v>
                </c:pt>
                <c:pt idx="36">
                  <c:v>3.1720000000000002</c:v>
                </c:pt>
                <c:pt idx="37">
                  <c:v>6.4059999999999997</c:v>
                </c:pt>
                <c:pt idx="38">
                  <c:v>8.9280000000000008</c:v>
                </c:pt>
                <c:pt idx="39">
                  <c:v>7.6319999999999997</c:v>
                </c:pt>
                <c:pt idx="40">
                  <c:v>4.0999999999999996</c:v>
                </c:pt>
                <c:pt idx="41">
                  <c:v>5.9189999999999996</c:v>
                </c:pt>
              </c:numCache>
            </c:numRef>
          </c:val>
          <c:extLst>
            <c:ext xmlns:c16="http://schemas.microsoft.com/office/drawing/2014/chart" uri="{C3380CC4-5D6E-409C-BE32-E72D297353CC}">
              <c16:uniqueId val="{00000001-9D49-4F68-9AE3-6B4584460A67}"/>
            </c:ext>
          </c:extLst>
        </c:ser>
        <c:ser>
          <c:idx val="3"/>
          <c:order val="3"/>
          <c:tx>
            <c:strRef>
              <c:f>'4.2'!$F$4</c:f>
              <c:strCache>
                <c:ptCount val="1"/>
                <c:pt idx="0">
                  <c:v>Terrace</c:v>
                </c:pt>
              </c:strCache>
            </c:strRef>
          </c:tx>
          <c:spPr>
            <a:solidFill>
              <a:srgbClr val="509D93"/>
            </a:solidFill>
            <a:ln>
              <a:solidFill>
                <a:srgbClr val="509D93"/>
              </a:solidFill>
            </a:ln>
            <a:effectLst/>
          </c:spPr>
          <c:invertIfNegative val="0"/>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'4.2'!$F$5:$F$46</c:f>
              <c:numCache>
                <c:formatCode>#,##0.00</c:formatCode>
                <c:ptCount val="42"/>
                <c:pt idx="0">
                  <c:v>6.3049999999999997</c:v>
                </c:pt>
                <c:pt idx="1">
                  <c:v>5.5592499999999996</c:v>
                </c:pt>
                <c:pt idx="2">
                  <c:v>5.43025</c:v>
                </c:pt>
                <c:pt idx="3">
                  <c:v>2.6757499999999999</c:v>
                </c:pt>
                <c:pt idx="4">
                  <c:v>5.51</c:v>
                </c:pt>
                <c:pt idx="5">
                  <c:v>4.6872600000000002</c:v>
                </c:pt>
                <c:pt idx="6">
                  <c:v>2.0059999999999998</c:v>
                </c:pt>
                <c:pt idx="7">
                  <c:v>5.6929999999999996</c:v>
                </c:pt>
                <c:pt idx="8">
                  <c:v>4.576155</c:v>
                </c:pt>
                <c:pt idx="9">
                  <c:v>2.7450000000000001</c:v>
                </c:pt>
                <c:pt idx="10">
                  <c:v>4.77135</c:v>
                </c:pt>
                <c:pt idx="11">
                  <c:v>4.3436000000000003</c:v>
                </c:pt>
                <c:pt idx="12">
                  <c:v>3.68</c:v>
                </c:pt>
                <c:pt idx="13">
                  <c:v>3.8260000000000001</c:v>
                </c:pt>
                <c:pt idx="14">
                  <c:v>3.54</c:v>
                </c:pt>
                <c:pt idx="15">
                  <c:v>5.85</c:v>
                </c:pt>
                <c:pt idx="16">
                  <c:v>4.28</c:v>
                </c:pt>
                <c:pt idx="17">
                  <c:v>5.8045</c:v>
                </c:pt>
                <c:pt idx="18">
                  <c:v>4.3540000000000001</c:v>
                </c:pt>
                <c:pt idx="19">
                  <c:v>4.7</c:v>
                </c:pt>
                <c:pt idx="20">
                  <c:v>2.6135000000000002</c:v>
                </c:pt>
                <c:pt idx="21">
                  <c:v>3.4039999999999999</c:v>
                </c:pt>
                <c:pt idx="22">
                  <c:v>6.4793000000000003</c:v>
                </c:pt>
                <c:pt idx="23">
                  <c:v>4.7910000000000004</c:v>
                </c:pt>
                <c:pt idx="24">
                  <c:v>1.788</c:v>
                </c:pt>
                <c:pt idx="25">
                  <c:v>1.496</c:v>
                </c:pt>
                <c:pt idx="26">
                  <c:v>3.2410000000000001</c:v>
                </c:pt>
                <c:pt idx="27">
                  <c:v>5.1392879999999996</c:v>
                </c:pt>
                <c:pt idx="28">
                  <c:v>4.6310000000000002</c:v>
                </c:pt>
                <c:pt idx="29">
                  <c:v>5.1864999999999997</c:v>
                </c:pt>
                <c:pt idx="30">
                  <c:v>6.7605000000000004</c:v>
                </c:pt>
                <c:pt idx="31">
                  <c:v>4.7469999999999999</c:v>
                </c:pt>
                <c:pt idx="32">
                  <c:v>5.8</c:v>
                </c:pt>
                <c:pt idx="33">
                  <c:v>6.53</c:v>
                </c:pt>
                <c:pt idx="34">
                  <c:v>3.8355000000000001</c:v>
                </c:pt>
                <c:pt idx="35">
                  <c:v>5.7934999999999999</c:v>
                </c:pt>
                <c:pt idx="36">
                  <c:v>4.5054999999999996</c:v>
                </c:pt>
                <c:pt idx="37">
                  <c:v>5.3354999999999997</c:v>
                </c:pt>
                <c:pt idx="38">
                  <c:v>2.5409999999999999</c:v>
                </c:pt>
                <c:pt idx="39">
                  <c:v>5.4562228900000003</c:v>
                </c:pt>
                <c:pt idx="40">
                  <c:v>3.9</c:v>
                </c:pt>
                <c:pt idx="41">
                  <c:v>4.2240000000000002</c:v>
                </c:pt>
              </c:numCache>
            </c:numRef>
          </c:val>
          <c:extLst>
            <c:ext xmlns:c16="http://schemas.microsoft.com/office/drawing/2014/chart" uri="{C3380CC4-5D6E-409C-BE32-E72D297353CC}">
              <c16:uniqueId val="{00000002-9D49-4F68-9AE3-6B4584460A67}"/>
            </c:ext>
          </c:extLst>
        </c:ser>
        <c:ser>
          <c:idx val="4"/>
          <c:order val="4"/>
          <c:tx>
            <c:strRef>
              <c:f>'4.2'!$G$4</c:f>
              <c:strCache>
                <c:ptCount val="1"/>
                <c:pt idx="0">
                  <c:v>Apartment</c:v>
                </c:pt>
              </c:strCache>
            </c:strRef>
          </c:tx>
          <c:spPr>
            <a:solidFill>
              <a:srgbClr val="006E59"/>
            </a:solidFill>
            <a:ln>
              <a:solidFill>
                <a:srgbClr val="006E59"/>
              </a:solidFill>
            </a:ln>
            <a:effectLst/>
          </c:spPr>
          <c:invertIfNegative val="0"/>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'4.2'!$G$5:$G$46</c:f>
              <c:numCache>
                <c:formatCode>#,##0.00</c:formatCode>
                <c:ptCount val="42"/>
                <c:pt idx="0">
                  <c:v>9.3878990000000009</c:v>
                </c:pt>
                <c:pt idx="1">
                  <c:v>8.7309999999999999</c:v>
                </c:pt>
                <c:pt idx="2">
                  <c:v>2.444</c:v>
                </c:pt>
                <c:pt idx="3">
                  <c:v>1.694</c:v>
                </c:pt>
                <c:pt idx="4">
                  <c:v>1.260888</c:v>
                </c:pt>
                <c:pt idx="5">
                  <c:v>0.77600000000000002</c:v>
                </c:pt>
                <c:pt idx="6">
                  <c:v>1.8260000000000001</c:v>
                </c:pt>
                <c:pt idx="7">
                  <c:v>3.4510000000000001</c:v>
                </c:pt>
                <c:pt idx="8">
                  <c:v>2.5379999999999998</c:v>
                </c:pt>
                <c:pt idx="9">
                  <c:v>3.5775000000000001</c:v>
                </c:pt>
                <c:pt idx="10">
                  <c:v>2.948</c:v>
                </c:pt>
                <c:pt idx="11">
                  <c:v>2.5249999999999999</c:v>
                </c:pt>
                <c:pt idx="12">
                  <c:v>1.365</c:v>
                </c:pt>
                <c:pt idx="13">
                  <c:v>1.121</c:v>
                </c:pt>
                <c:pt idx="14">
                  <c:v>0.72</c:v>
                </c:pt>
                <c:pt idx="15">
                  <c:v>2.52</c:v>
                </c:pt>
                <c:pt idx="16">
                  <c:v>2.21</c:v>
                </c:pt>
                <c:pt idx="17">
                  <c:v>1.871</c:v>
                </c:pt>
                <c:pt idx="18">
                  <c:v>2.19</c:v>
                </c:pt>
                <c:pt idx="19">
                  <c:v>3.6</c:v>
                </c:pt>
                <c:pt idx="20">
                  <c:v>3.6419999999999999</c:v>
                </c:pt>
                <c:pt idx="21">
                  <c:v>3.1640000000000001</c:v>
                </c:pt>
                <c:pt idx="22">
                  <c:v>2.5935000000000001</c:v>
                </c:pt>
                <c:pt idx="23">
                  <c:v>1.2090000000000001</c:v>
                </c:pt>
                <c:pt idx="24">
                  <c:v>2.0779999999999998</c:v>
                </c:pt>
                <c:pt idx="25">
                  <c:v>1.4219999999999999</c:v>
                </c:pt>
                <c:pt idx="26">
                  <c:v>1.284</c:v>
                </c:pt>
                <c:pt idx="27">
                  <c:v>2.677</c:v>
                </c:pt>
                <c:pt idx="28">
                  <c:v>0.80800000000000005</c:v>
                </c:pt>
                <c:pt idx="29">
                  <c:v>2.1320000000000001</c:v>
                </c:pt>
                <c:pt idx="30">
                  <c:v>0.63200000000000001</c:v>
                </c:pt>
                <c:pt idx="31">
                  <c:v>1.669</c:v>
                </c:pt>
                <c:pt idx="32">
                  <c:v>1.2</c:v>
                </c:pt>
                <c:pt idx="33">
                  <c:v>0.75</c:v>
                </c:pt>
                <c:pt idx="34">
                  <c:v>0.63900000000000001</c:v>
                </c:pt>
                <c:pt idx="35">
                  <c:v>0.63800000000000001</c:v>
                </c:pt>
                <c:pt idx="36">
                  <c:v>0.47</c:v>
                </c:pt>
                <c:pt idx="37">
                  <c:v>0</c:v>
                </c:pt>
                <c:pt idx="38">
                  <c:v>0.83499999999999996</c:v>
                </c:pt>
                <c:pt idx="39">
                  <c:v>1.8420000000000001</c:v>
                </c:pt>
                <c:pt idx="40">
                  <c:v>0.9</c:v>
                </c:pt>
                <c:pt idx="41">
                  <c:v>2.417554</c:v>
                </c:pt>
              </c:numCache>
            </c:numRef>
          </c:val>
          <c:extLst>
            <c:ext xmlns:c16="http://schemas.microsoft.com/office/drawing/2014/chart" uri="{C3380CC4-5D6E-409C-BE32-E72D297353CC}">
              <c16:uniqueId val="{00000003-9D49-4F68-9AE3-6B4584460A67}"/>
            </c:ext>
          </c:extLst>
        </c:ser>
        <c:dLbls>
          <c:showLegendKey val="0"/>
          <c:showVal val="0"/>
          <c:showCatName val="0"/>
          <c:showSerName val="0"/>
          <c:showPercent val="0"/>
          <c:showBubbleSize val="0"/>
        </c:dLbls>
        <c:gapWidth val="150"/>
        <c:overlap val="100"/>
        <c:axId val="393647407"/>
        <c:axId val="393646159"/>
      </c:barChart>
      <c:lineChart>
        <c:grouping val="standard"/>
        <c:varyColors val="0"/>
        <c:ser>
          <c:idx val="0"/>
          <c:order val="0"/>
          <c:tx>
            <c:strRef>
              <c:f>'4.2'!$C$4</c:f>
              <c:strCache>
                <c:ptCount val="1"/>
                <c:pt idx="0">
                  <c:v>Total</c:v>
                </c:pt>
              </c:strCache>
            </c:strRef>
          </c:tx>
          <c:spPr>
            <a:ln w="22225" cap="sq">
              <a:solidFill>
                <a:schemeClr val="tx1">
                  <a:lumMod val="65000"/>
                  <a:lumOff val="35000"/>
                  <a:alpha val="88000"/>
                </a:schemeClr>
              </a:solidFill>
              <a:round/>
            </a:ln>
            <a:effectLst/>
          </c:spPr>
          <c:marker>
            <c:symbol val="diamond"/>
            <c:size val="7"/>
            <c:spPr>
              <a:solidFill>
                <a:schemeClr val="tx1">
                  <a:lumMod val="65000"/>
                  <a:lumOff val="35000"/>
                </a:schemeClr>
              </a:solidFill>
              <a:ln w="15875">
                <a:solidFill>
                  <a:schemeClr val="tx1">
                    <a:lumMod val="65000"/>
                    <a:lumOff val="35000"/>
                    <a:alpha val="88000"/>
                  </a:schemeClr>
                </a:solidFill>
              </a:ln>
              <a:effectLst/>
            </c:spPr>
          </c:marker>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'4.2'!$C$5:$C$46</c:f>
              <c:numCache>
                <c:formatCode>#,##0.00</c:formatCode>
                <c:ptCount val="42"/>
                <c:pt idx="0">
                  <c:v>39.004498999999996</c:v>
                </c:pt>
                <c:pt idx="1">
                  <c:v>44.368029999999997</c:v>
                </c:pt>
                <c:pt idx="2">
                  <c:v>24.460993519999999</c:v>
                </c:pt>
                <c:pt idx="3">
                  <c:v>11.73175</c:v>
                </c:pt>
                <c:pt idx="4">
                  <c:v>25.415411000000002</c:v>
                </c:pt>
                <c:pt idx="5">
                  <c:v>20.129757490000003</c:v>
                </c:pt>
                <c:pt idx="6">
                  <c:v>27.482293009999999</c:v>
                </c:pt>
                <c:pt idx="7">
                  <c:v>32.252957689999995</c:v>
                </c:pt>
                <c:pt idx="8">
                  <c:v>23.438587170000002</c:v>
                </c:pt>
                <c:pt idx="9">
                  <c:v>22.549134519999999</c:v>
                </c:pt>
                <c:pt idx="10">
                  <c:v>26.909214900000002</c:v>
                </c:pt>
                <c:pt idx="11">
                  <c:v>26.843465999999999</c:v>
                </c:pt>
                <c:pt idx="12">
                  <c:v>23.186222000000001</c:v>
                </c:pt>
                <c:pt idx="13">
                  <c:v>22.697900000000001</c:v>
                </c:pt>
                <c:pt idx="14">
                  <c:v>27.999999999999996</c:v>
                </c:pt>
                <c:pt idx="15">
                  <c:v>36.21</c:v>
                </c:pt>
                <c:pt idx="16">
                  <c:v>29.900000000000002</c:v>
                </c:pt>
                <c:pt idx="17">
                  <c:v>32.693550000000002</c:v>
                </c:pt>
                <c:pt idx="18">
                  <c:v>30.085900000000002</c:v>
                </c:pt>
                <c:pt idx="19">
                  <c:v>30.1</c:v>
                </c:pt>
                <c:pt idx="20">
                  <c:v>19.672756</c:v>
                </c:pt>
                <c:pt idx="21">
                  <c:v>28.891919000000001</c:v>
                </c:pt>
                <c:pt idx="22">
                  <c:v>45.055199999999999</c:v>
                </c:pt>
                <c:pt idx="23">
                  <c:v>35.315553720000004</c:v>
                </c:pt>
                <c:pt idx="24">
                  <c:v>29.200253999999997</c:v>
                </c:pt>
                <c:pt idx="25">
                  <c:v>28.731351</c:v>
                </c:pt>
                <c:pt idx="26">
                  <c:v>35.337570110000001</c:v>
                </c:pt>
                <c:pt idx="27">
                  <c:v>35.136437880000003</c:v>
                </c:pt>
                <c:pt idx="28">
                  <c:v>32.610522020000005</c:v>
                </c:pt>
                <c:pt idx="29">
                  <c:v>33.918373209999999</c:v>
                </c:pt>
                <c:pt idx="30">
                  <c:v>35.909274000000003</c:v>
                </c:pt>
                <c:pt idx="31">
                  <c:v>38.134302449999993</c:v>
                </c:pt>
                <c:pt idx="32">
                  <c:v>31.9</c:v>
                </c:pt>
                <c:pt idx="33">
                  <c:v>34.608076939999997</c:v>
                </c:pt>
                <c:pt idx="34">
                  <c:v>26.982600000000001</c:v>
                </c:pt>
                <c:pt idx="35">
                  <c:v>36.329276999999998</c:v>
                </c:pt>
                <c:pt idx="36">
                  <c:v>20.558599999999998</c:v>
                </c:pt>
                <c:pt idx="37">
                  <c:v>33.920929999999998</c:v>
                </c:pt>
                <c:pt idx="38">
                  <c:v>34.500532999999997</c:v>
                </c:pt>
                <c:pt idx="39">
                  <c:v>36.527399719999998</c:v>
                </c:pt>
                <c:pt idx="40">
                  <c:v>23.9</c:v>
                </c:pt>
                <c:pt idx="41">
                  <c:v>37.926413750000002</c:v>
                </c:pt>
              </c:numCache>
            </c:numRef>
          </c:val>
          <c:smooth val="0"/>
          <c:extLst>
            <c:ext xmlns:c16="http://schemas.microsoft.com/office/drawing/2014/chart" uri="{C3380CC4-5D6E-409C-BE32-E72D297353CC}">
              <c16:uniqueId val="{00000005-9D49-4F68-9AE3-6B4584460A67}"/>
            </c:ext>
          </c:extLst>
        </c:ser>
        <c:dLbls>
          <c:showLegendKey val="0"/>
          <c:showVal val="0"/>
          <c:showCatName val="0"/>
          <c:showSerName val="0"/>
          <c:showPercent val="0"/>
          <c:showBubbleSize val="0"/>
        </c:dLbls>
        <c:marker val="1"/>
        <c:smooth val="0"/>
        <c:axId val="393647407"/>
        <c:axId val="393646159"/>
      </c:lineChart>
      <c:catAx>
        <c:axId val="3936474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393646159"/>
        <c:crosses val="autoZero"/>
        <c:auto val="1"/>
        <c:lblAlgn val="ctr"/>
        <c:lblOffset val="100"/>
        <c:noMultiLvlLbl val="0"/>
      </c:catAx>
      <c:valAx>
        <c:axId val="393646159"/>
        <c:scaling>
          <c:orientation val="minMax"/>
          <c:max val="50"/>
          <c:min val="0"/>
        </c:scaling>
        <c:delete val="0"/>
        <c:axPos val="l"/>
        <c:majorGridlines>
          <c:spPr>
            <a:ln w="6350" cap="flat"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r>
                  <a:rPr lang="en-US" sz="1100" b="1" i="0" baseline="0">
                    <a:latin typeface="Geomanist" panose="02000503000000020004" pitchFamily="50" charset="0"/>
                  </a:rPr>
                  <a:t>BND Million</a:t>
                </a:r>
              </a:p>
            </c:rich>
          </c:tx>
          <c:layout>
            <c:manualLayout>
              <c:xMode val="edge"/>
              <c:yMode val="edge"/>
              <c:x val="5.934490959891011E-3"/>
              <c:y val="0.36186574405472044"/>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3647407"/>
        <c:crosses val="autoZero"/>
        <c:crossBetween val="between"/>
      </c:valAx>
      <c:spPr>
        <a:noFill/>
        <a:ln>
          <a:noFill/>
        </a:ln>
        <a:effectLst/>
      </c:spPr>
    </c:plotArea>
    <c:legend>
      <c:legendPos val="b"/>
      <c:layout>
        <c:manualLayout>
          <c:xMode val="edge"/>
          <c:yMode val="edge"/>
          <c:x val="0.11863940670083509"/>
          <c:y val="0.94771294397020689"/>
          <c:w val="0.80524750349954033"/>
          <c:h val="3.6123842365393316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US" sz="1600" b="1" i="0" u="none" strike="noStrike" kern="1200" baseline="0">
                <a:solidFill>
                  <a:srgbClr val="006E59"/>
                </a:solidFill>
                <a:latin typeface="Heuristica" panose="02020603050705020204" pitchFamily="18" charset="0"/>
              </a:rPr>
              <a:t>Chart 4.3: </a:t>
            </a:r>
            <a:r>
              <a:rPr lang="en-US" sz="1600" b="1" i="0" u="none" strike="noStrike" kern="1200" baseline="0">
                <a:solidFill>
                  <a:srgbClr val="D4C029"/>
                </a:solidFill>
                <a:latin typeface="Heuristica" panose="02020603050705020204" pitchFamily="18" charset="0"/>
              </a:rPr>
              <a:t>Median Purchase Price of Transactions by Property Type</a:t>
            </a:r>
          </a:p>
        </c:rich>
      </c:tx>
      <c:layout>
        <c:manualLayout>
          <c:xMode val="edge"/>
          <c:yMode val="edge"/>
          <c:x val="0.15524766008022584"/>
          <c:y val="1.4213197969543147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'4.3'!$C$4</c:f>
              <c:strCache>
                <c:ptCount val="1"/>
                <c:pt idx="0">
                  <c:v>Overall</c:v>
                </c:pt>
              </c:strCache>
            </c:strRef>
          </c:tx>
          <c:spPr>
            <a:ln w="28575" cap="rnd">
              <a:solidFill>
                <a:schemeClr val="accent1"/>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'4.3'!$C$5:$C$46</c:f>
              <c:numCache>
                <c:formatCode>#,##0.00</c:formatCode>
                <c:ptCount val="42"/>
                <c:pt idx="0">
                  <c:v>270</c:v>
                </c:pt>
                <c:pt idx="1">
                  <c:v>246</c:v>
                </c:pt>
                <c:pt idx="2">
                  <c:v>295</c:v>
                </c:pt>
                <c:pt idx="3">
                  <c:v>270</c:v>
                </c:pt>
                <c:pt idx="4">
                  <c:v>279</c:v>
                </c:pt>
                <c:pt idx="5">
                  <c:v>255</c:v>
                </c:pt>
                <c:pt idx="6">
                  <c:v>276.62987500000003</c:v>
                </c:pt>
                <c:pt idx="7">
                  <c:v>280</c:v>
                </c:pt>
                <c:pt idx="8">
                  <c:v>280</c:v>
                </c:pt>
                <c:pt idx="9">
                  <c:v>285</c:v>
                </c:pt>
                <c:pt idx="10">
                  <c:v>228.5</c:v>
                </c:pt>
                <c:pt idx="11">
                  <c:v>267</c:v>
                </c:pt>
                <c:pt idx="12">
                  <c:v>250</c:v>
                </c:pt>
                <c:pt idx="13">
                  <c:v>260</c:v>
                </c:pt>
                <c:pt idx="14">
                  <c:v>250</c:v>
                </c:pt>
                <c:pt idx="15">
                  <c:v>252</c:v>
                </c:pt>
                <c:pt idx="16">
                  <c:v>245</c:v>
                </c:pt>
                <c:pt idx="17">
                  <c:v>260</c:v>
                </c:pt>
                <c:pt idx="18">
                  <c:v>260</c:v>
                </c:pt>
                <c:pt idx="19">
                  <c:v>258</c:v>
                </c:pt>
                <c:pt idx="20">
                  <c:v>249</c:v>
                </c:pt>
                <c:pt idx="21">
                  <c:v>238</c:v>
                </c:pt>
                <c:pt idx="22">
                  <c:v>240</c:v>
                </c:pt>
                <c:pt idx="23">
                  <c:v>245</c:v>
                </c:pt>
                <c:pt idx="24">
                  <c:v>247</c:v>
                </c:pt>
                <c:pt idx="25">
                  <c:v>280</c:v>
                </c:pt>
                <c:pt idx="26">
                  <c:v>250</c:v>
                </c:pt>
                <c:pt idx="27">
                  <c:v>268</c:v>
                </c:pt>
                <c:pt idx="28">
                  <c:v>246.5</c:v>
                </c:pt>
                <c:pt idx="29">
                  <c:v>249.5</c:v>
                </c:pt>
                <c:pt idx="30">
                  <c:v>255</c:v>
                </c:pt>
                <c:pt idx="31">
                  <c:v>260</c:v>
                </c:pt>
                <c:pt idx="32">
                  <c:v>251</c:v>
                </c:pt>
                <c:pt idx="33">
                  <c:v>252</c:v>
                </c:pt>
                <c:pt idx="34">
                  <c:v>260</c:v>
                </c:pt>
                <c:pt idx="35">
                  <c:v>258</c:v>
                </c:pt>
                <c:pt idx="36">
                  <c:v>247</c:v>
                </c:pt>
                <c:pt idx="37">
                  <c:v>250</c:v>
                </c:pt>
                <c:pt idx="38">
                  <c:v>249.8</c:v>
                </c:pt>
                <c:pt idx="39">
                  <c:v>240.5</c:v>
                </c:pt>
                <c:pt idx="40">
                  <c:v>220</c:v>
                </c:pt>
                <c:pt idx="41">
                  <c:v>254.5</c:v>
                </c:pt>
              </c:numCache>
            </c:numRef>
          </c:val>
          <c:smooth val="0"/>
          <c:extLst>
            <c:ext xmlns:c16="http://schemas.microsoft.com/office/drawing/2014/chart" uri="{C3380CC4-5D6E-409C-BE32-E72D297353CC}">
              <c16:uniqueId val="{00000000-770D-415C-9CAD-E5B46F3CDC78}"/>
            </c:ext>
          </c:extLst>
        </c:ser>
        <c:ser>
          <c:idx val="1"/>
          <c:order val="1"/>
          <c:tx>
            <c:strRef>
              <c:f>'4.3'!$D$4</c:f>
              <c:strCache>
                <c:ptCount val="1"/>
                <c:pt idx="0">
                  <c:v>Detached</c:v>
                </c:pt>
              </c:strCache>
            </c:strRef>
          </c:tx>
          <c:spPr>
            <a:ln w="28575" cap="rnd">
              <a:solidFill>
                <a:schemeClr val="accent2"/>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'4.3'!$D$5:$D$46</c:f>
              <c:numCache>
                <c:formatCode>#,##0.00</c:formatCode>
                <c:ptCount val="42"/>
                <c:pt idx="0">
                  <c:v>377.5</c:v>
                </c:pt>
                <c:pt idx="1">
                  <c:v>330</c:v>
                </c:pt>
                <c:pt idx="2">
                  <c:v>380</c:v>
                </c:pt>
                <c:pt idx="3">
                  <c:v>345</c:v>
                </c:pt>
                <c:pt idx="4">
                  <c:v>290</c:v>
                </c:pt>
                <c:pt idx="5">
                  <c:v>257.5</c:v>
                </c:pt>
                <c:pt idx="6">
                  <c:v>280</c:v>
                </c:pt>
                <c:pt idx="7">
                  <c:v>320</c:v>
                </c:pt>
                <c:pt idx="8">
                  <c:v>315</c:v>
                </c:pt>
                <c:pt idx="9">
                  <c:v>318</c:v>
                </c:pt>
                <c:pt idx="10">
                  <c:v>316.5</c:v>
                </c:pt>
                <c:pt idx="11">
                  <c:v>286</c:v>
                </c:pt>
                <c:pt idx="12">
                  <c:v>299</c:v>
                </c:pt>
                <c:pt idx="13">
                  <c:v>280</c:v>
                </c:pt>
                <c:pt idx="14">
                  <c:v>280</c:v>
                </c:pt>
                <c:pt idx="15">
                  <c:v>280</c:v>
                </c:pt>
                <c:pt idx="16">
                  <c:v>288</c:v>
                </c:pt>
                <c:pt idx="17">
                  <c:v>286</c:v>
                </c:pt>
                <c:pt idx="18">
                  <c:v>293</c:v>
                </c:pt>
                <c:pt idx="19">
                  <c:v>285</c:v>
                </c:pt>
                <c:pt idx="20">
                  <c:v>300</c:v>
                </c:pt>
                <c:pt idx="21">
                  <c:v>247.5</c:v>
                </c:pt>
                <c:pt idx="22">
                  <c:v>266.5</c:v>
                </c:pt>
                <c:pt idx="23">
                  <c:v>289</c:v>
                </c:pt>
                <c:pt idx="24">
                  <c:v>282.5</c:v>
                </c:pt>
                <c:pt idx="25">
                  <c:v>300</c:v>
                </c:pt>
                <c:pt idx="26">
                  <c:v>258</c:v>
                </c:pt>
                <c:pt idx="27">
                  <c:v>295.8</c:v>
                </c:pt>
                <c:pt idx="28">
                  <c:v>260</c:v>
                </c:pt>
                <c:pt idx="29">
                  <c:v>268</c:v>
                </c:pt>
                <c:pt idx="30">
                  <c:v>278</c:v>
                </c:pt>
                <c:pt idx="31">
                  <c:v>289</c:v>
                </c:pt>
                <c:pt idx="32">
                  <c:v>278</c:v>
                </c:pt>
                <c:pt idx="33">
                  <c:v>300</c:v>
                </c:pt>
                <c:pt idx="34">
                  <c:v>288</c:v>
                </c:pt>
                <c:pt idx="35">
                  <c:v>272</c:v>
                </c:pt>
                <c:pt idx="36">
                  <c:v>278</c:v>
                </c:pt>
                <c:pt idx="37">
                  <c:v>269</c:v>
                </c:pt>
                <c:pt idx="38">
                  <c:v>252.3</c:v>
                </c:pt>
                <c:pt idx="39">
                  <c:v>260</c:v>
                </c:pt>
                <c:pt idx="40">
                  <c:v>230</c:v>
                </c:pt>
                <c:pt idx="41">
                  <c:v>276.5</c:v>
                </c:pt>
              </c:numCache>
            </c:numRef>
          </c:val>
          <c:smooth val="0"/>
          <c:extLst>
            <c:ext xmlns:c16="http://schemas.microsoft.com/office/drawing/2014/chart" uri="{C3380CC4-5D6E-409C-BE32-E72D297353CC}">
              <c16:uniqueId val="{00000001-770D-415C-9CAD-E5B46F3CDC78}"/>
            </c:ext>
          </c:extLst>
        </c:ser>
        <c:ser>
          <c:idx val="2"/>
          <c:order val="2"/>
          <c:tx>
            <c:strRef>
              <c:f>'4.3'!$E$4</c:f>
              <c:strCache>
                <c:ptCount val="1"/>
                <c:pt idx="0">
                  <c:v>Semi-Detached</c:v>
                </c:pt>
              </c:strCache>
            </c:strRef>
          </c:tx>
          <c:spPr>
            <a:ln w="28575" cap="rnd">
              <a:solidFill>
                <a:schemeClr val="accent3"/>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'4.3'!$E$5:$E$46</c:f>
              <c:numCache>
                <c:formatCode>#,##0.00</c:formatCode>
                <c:ptCount val="42"/>
                <c:pt idx="0">
                  <c:v>289.5</c:v>
                </c:pt>
                <c:pt idx="1">
                  <c:v>280</c:v>
                </c:pt>
                <c:pt idx="2">
                  <c:v>245</c:v>
                </c:pt>
                <c:pt idx="3">
                  <c:v>287.5</c:v>
                </c:pt>
                <c:pt idx="4">
                  <c:v>250</c:v>
                </c:pt>
                <c:pt idx="5">
                  <c:v>305</c:v>
                </c:pt>
                <c:pt idx="6">
                  <c:v>300</c:v>
                </c:pt>
                <c:pt idx="7">
                  <c:v>270</c:v>
                </c:pt>
                <c:pt idx="8">
                  <c:v>286</c:v>
                </c:pt>
                <c:pt idx="9">
                  <c:v>300</c:v>
                </c:pt>
                <c:pt idx="10">
                  <c:v>280</c:v>
                </c:pt>
                <c:pt idx="11">
                  <c:v>288.5</c:v>
                </c:pt>
                <c:pt idx="12">
                  <c:v>260</c:v>
                </c:pt>
                <c:pt idx="13">
                  <c:v>257.5</c:v>
                </c:pt>
                <c:pt idx="14">
                  <c:v>255</c:v>
                </c:pt>
                <c:pt idx="15">
                  <c:v>245</c:v>
                </c:pt>
                <c:pt idx="16">
                  <c:v>250</c:v>
                </c:pt>
                <c:pt idx="17">
                  <c:v>268</c:v>
                </c:pt>
                <c:pt idx="18">
                  <c:v>288</c:v>
                </c:pt>
                <c:pt idx="19">
                  <c:v>271</c:v>
                </c:pt>
                <c:pt idx="20">
                  <c:v>260</c:v>
                </c:pt>
                <c:pt idx="21">
                  <c:v>272</c:v>
                </c:pt>
                <c:pt idx="22">
                  <c:v>248</c:v>
                </c:pt>
                <c:pt idx="23">
                  <c:v>250</c:v>
                </c:pt>
                <c:pt idx="24">
                  <c:v>185</c:v>
                </c:pt>
                <c:pt idx="25">
                  <c:v>262</c:v>
                </c:pt>
                <c:pt idx="26">
                  <c:v>265</c:v>
                </c:pt>
                <c:pt idx="27">
                  <c:v>255</c:v>
                </c:pt>
                <c:pt idx="28">
                  <c:v>260</c:v>
                </c:pt>
                <c:pt idx="29">
                  <c:v>254</c:v>
                </c:pt>
                <c:pt idx="30">
                  <c:v>260</c:v>
                </c:pt>
                <c:pt idx="31">
                  <c:v>280</c:v>
                </c:pt>
                <c:pt idx="32">
                  <c:v>275</c:v>
                </c:pt>
                <c:pt idx="33">
                  <c:v>258</c:v>
                </c:pt>
                <c:pt idx="34">
                  <c:v>267.5</c:v>
                </c:pt>
                <c:pt idx="35">
                  <c:v>275.5</c:v>
                </c:pt>
                <c:pt idx="36">
                  <c:v>246</c:v>
                </c:pt>
                <c:pt idx="37">
                  <c:v>285</c:v>
                </c:pt>
                <c:pt idx="38">
                  <c:v>262.5</c:v>
                </c:pt>
                <c:pt idx="39">
                  <c:v>218</c:v>
                </c:pt>
                <c:pt idx="40">
                  <c:v>220</c:v>
                </c:pt>
                <c:pt idx="41">
                  <c:v>209</c:v>
                </c:pt>
              </c:numCache>
            </c:numRef>
          </c:val>
          <c:smooth val="0"/>
          <c:extLst>
            <c:ext xmlns:c16="http://schemas.microsoft.com/office/drawing/2014/chart" uri="{C3380CC4-5D6E-409C-BE32-E72D297353CC}">
              <c16:uniqueId val="{00000002-770D-415C-9CAD-E5B46F3CDC78}"/>
            </c:ext>
          </c:extLst>
        </c:ser>
        <c:ser>
          <c:idx val="3"/>
          <c:order val="3"/>
          <c:tx>
            <c:strRef>
              <c:f>'4.3'!$F$4</c:f>
              <c:strCache>
                <c:ptCount val="1"/>
                <c:pt idx="0">
                  <c:v>Terrace</c:v>
                </c:pt>
              </c:strCache>
            </c:strRef>
          </c:tx>
          <c:spPr>
            <a:ln w="28575" cap="rnd">
              <a:solidFill>
                <a:schemeClr val="accent4"/>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'4.3'!$F$5:$F$46</c:f>
              <c:numCache>
                <c:formatCode>#,##0.00</c:formatCode>
                <c:ptCount val="42"/>
                <c:pt idx="0">
                  <c:v>240</c:v>
                </c:pt>
                <c:pt idx="1">
                  <c:v>231.75</c:v>
                </c:pt>
                <c:pt idx="2">
                  <c:v>257.5</c:v>
                </c:pt>
                <c:pt idx="3">
                  <c:v>255</c:v>
                </c:pt>
                <c:pt idx="4">
                  <c:v>270</c:v>
                </c:pt>
                <c:pt idx="5">
                  <c:v>255</c:v>
                </c:pt>
                <c:pt idx="6">
                  <c:v>203</c:v>
                </c:pt>
                <c:pt idx="7">
                  <c:v>255</c:v>
                </c:pt>
                <c:pt idx="8">
                  <c:v>210</c:v>
                </c:pt>
                <c:pt idx="9">
                  <c:v>250</c:v>
                </c:pt>
                <c:pt idx="10">
                  <c:v>116.25</c:v>
                </c:pt>
                <c:pt idx="11">
                  <c:v>218</c:v>
                </c:pt>
                <c:pt idx="12">
                  <c:v>185</c:v>
                </c:pt>
                <c:pt idx="13">
                  <c:v>210</c:v>
                </c:pt>
                <c:pt idx="14">
                  <c:v>193</c:v>
                </c:pt>
                <c:pt idx="15">
                  <c:v>245</c:v>
                </c:pt>
                <c:pt idx="16">
                  <c:v>159.5</c:v>
                </c:pt>
                <c:pt idx="17">
                  <c:v>198</c:v>
                </c:pt>
                <c:pt idx="18">
                  <c:v>205</c:v>
                </c:pt>
                <c:pt idx="19">
                  <c:v>225</c:v>
                </c:pt>
                <c:pt idx="20">
                  <c:v>176.75</c:v>
                </c:pt>
                <c:pt idx="21">
                  <c:v>165</c:v>
                </c:pt>
                <c:pt idx="22">
                  <c:v>208.8</c:v>
                </c:pt>
                <c:pt idx="23">
                  <c:v>202.5</c:v>
                </c:pt>
                <c:pt idx="24">
                  <c:v>215</c:v>
                </c:pt>
                <c:pt idx="25">
                  <c:v>210</c:v>
                </c:pt>
                <c:pt idx="26">
                  <c:v>215</c:v>
                </c:pt>
                <c:pt idx="27">
                  <c:v>219.4</c:v>
                </c:pt>
                <c:pt idx="28">
                  <c:v>203</c:v>
                </c:pt>
                <c:pt idx="29">
                  <c:v>210</c:v>
                </c:pt>
                <c:pt idx="30">
                  <c:v>197</c:v>
                </c:pt>
                <c:pt idx="31">
                  <c:v>191</c:v>
                </c:pt>
                <c:pt idx="32">
                  <c:v>213</c:v>
                </c:pt>
                <c:pt idx="33">
                  <c:v>200</c:v>
                </c:pt>
                <c:pt idx="34">
                  <c:v>213</c:v>
                </c:pt>
                <c:pt idx="35">
                  <c:v>202.5</c:v>
                </c:pt>
                <c:pt idx="36">
                  <c:v>220</c:v>
                </c:pt>
                <c:pt idx="37">
                  <c:v>212</c:v>
                </c:pt>
                <c:pt idx="38">
                  <c:v>199</c:v>
                </c:pt>
                <c:pt idx="39">
                  <c:v>198</c:v>
                </c:pt>
                <c:pt idx="40">
                  <c:v>215</c:v>
                </c:pt>
                <c:pt idx="41">
                  <c:v>235</c:v>
                </c:pt>
              </c:numCache>
            </c:numRef>
          </c:val>
          <c:smooth val="0"/>
          <c:extLst>
            <c:ext xmlns:c16="http://schemas.microsoft.com/office/drawing/2014/chart" uri="{C3380CC4-5D6E-409C-BE32-E72D297353CC}">
              <c16:uniqueId val="{00000003-770D-415C-9CAD-E5B46F3CDC78}"/>
            </c:ext>
          </c:extLst>
        </c:ser>
        <c:ser>
          <c:idx val="4"/>
          <c:order val="4"/>
          <c:tx>
            <c:strRef>
              <c:f>'4.3'!$G$4</c:f>
              <c:strCache>
                <c:ptCount val="1"/>
                <c:pt idx="0">
                  <c:v>Apartment</c:v>
                </c:pt>
              </c:strCache>
            </c:strRef>
          </c:tx>
          <c:spPr>
            <a:ln w="28575" cap="rnd">
              <a:solidFill>
                <a:schemeClr val="accent5"/>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'4.3'!$G$5:$G$46</c:f>
              <c:numCache>
                <c:formatCode>#,##0.00</c:formatCode>
                <c:ptCount val="42"/>
                <c:pt idx="0">
                  <c:v>240</c:v>
                </c:pt>
                <c:pt idx="1">
                  <c:v>223.7</c:v>
                </c:pt>
                <c:pt idx="2">
                  <c:v>255</c:v>
                </c:pt>
                <c:pt idx="3">
                  <c:v>246</c:v>
                </c:pt>
                <c:pt idx="4">
                  <c:v>213.5</c:v>
                </c:pt>
                <c:pt idx="5">
                  <c:v>220</c:v>
                </c:pt>
                <c:pt idx="6">
                  <c:v>230</c:v>
                </c:pt>
                <c:pt idx="7">
                  <c:v>320</c:v>
                </c:pt>
                <c:pt idx="8">
                  <c:v>440.75</c:v>
                </c:pt>
                <c:pt idx="9">
                  <c:v>324</c:v>
                </c:pt>
                <c:pt idx="10">
                  <c:v>210</c:v>
                </c:pt>
                <c:pt idx="11">
                  <c:v>367.5</c:v>
                </c:pt>
                <c:pt idx="12">
                  <c:v>205</c:v>
                </c:pt>
                <c:pt idx="13">
                  <c:v>283</c:v>
                </c:pt>
                <c:pt idx="14">
                  <c:v>215</c:v>
                </c:pt>
                <c:pt idx="15">
                  <c:v>240</c:v>
                </c:pt>
                <c:pt idx="16">
                  <c:v>325</c:v>
                </c:pt>
                <c:pt idx="17">
                  <c:v>326</c:v>
                </c:pt>
                <c:pt idx="18">
                  <c:v>195</c:v>
                </c:pt>
                <c:pt idx="19">
                  <c:v>223</c:v>
                </c:pt>
                <c:pt idx="20">
                  <c:v>232</c:v>
                </c:pt>
                <c:pt idx="21">
                  <c:v>234</c:v>
                </c:pt>
                <c:pt idx="22">
                  <c:v>215</c:v>
                </c:pt>
                <c:pt idx="23">
                  <c:v>210</c:v>
                </c:pt>
                <c:pt idx="24">
                  <c:v>220</c:v>
                </c:pt>
                <c:pt idx="25">
                  <c:v>230</c:v>
                </c:pt>
                <c:pt idx="26">
                  <c:v>250</c:v>
                </c:pt>
                <c:pt idx="27">
                  <c:v>240</c:v>
                </c:pt>
                <c:pt idx="28">
                  <c:v>216.5</c:v>
                </c:pt>
                <c:pt idx="29">
                  <c:v>265</c:v>
                </c:pt>
                <c:pt idx="30">
                  <c:v>316</c:v>
                </c:pt>
                <c:pt idx="31">
                  <c:v>230</c:v>
                </c:pt>
                <c:pt idx="32">
                  <c:v>320</c:v>
                </c:pt>
                <c:pt idx="33">
                  <c:v>260</c:v>
                </c:pt>
                <c:pt idx="34">
                  <c:v>215</c:v>
                </c:pt>
                <c:pt idx="35">
                  <c:v>210</c:v>
                </c:pt>
                <c:pt idx="36">
                  <c:v>235</c:v>
                </c:pt>
                <c:pt idx="38">
                  <c:v>305</c:v>
                </c:pt>
                <c:pt idx="39">
                  <c:v>287.5</c:v>
                </c:pt>
                <c:pt idx="40">
                  <c:v>137</c:v>
                </c:pt>
                <c:pt idx="41">
                  <c:v>203</c:v>
                </c:pt>
              </c:numCache>
            </c:numRef>
          </c:val>
          <c:smooth val="0"/>
          <c:extLst>
            <c:ext xmlns:c16="http://schemas.microsoft.com/office/drawing/2014/chart" uri="{C3380CC4-5D6E-409C-BE32-E72D297353CC}">
              <c16:uniqueId val="{00000004-770D-415C-9CAD-E5B46F3CDC78}"/>
            </c:ext>
          </c:extLst>
        </c:ser>
        <c:ser>
          <c:idx val="5"/>
          <c:order val="5"/>
          <c:tx>
            <c:strRef>
              <c:f>'4.3'!$H$4</c:f>
              <c:strCache>
                <c:ptCount val="1"/>
                <c:pt idx="0">
                  <c:v>Land</c:v>
                </c:pt>
              </c:strCache>
            </c:strRef>
          </c:tx>
          <c:spPr>
            <a:ln w="28575" cap="rnd">
              <a:solidFill>
                <a:schemeClr val="accent6"/>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'4.3'!$H$5:$H$46</c:f>
              <c:numCache>
                <c:formatCode>#,##0.00</c:formatCode>
                <c:ptCount val="42"/>
                <c:pt idx="1">
                  <c:v>225</c:v>
                </c:pt>
                <c:pt idx="2">
                  <c:v>105</c:v>
                </c:pt>
                <c:pt idx="3">
                  <c:v>143</c:v>
                </c:pt>
                <c:pt idx="4">
                  <c:v>95</c:v>
                </c:pt>
                <c:pt idx="5">
                  <c:v>138</c:v>
                </c:pt>
                <c:pt idx="6">
                  <c:v>64</c:v>
                </c:pt>
                <c:pt idx="7">
                  <c:v>100.19338500000001</c:v>
                </c:pt>
                <c:pt idx="8">
                  <c:v>84.167179999999988</c:v>
                </c:pt>
                <c:pt idx="9">
                  <c:v>68.900000000000006</c:v>
                </c:pt>
                <c:pt idx="10">
                  <c:v>220</c:v>
                </c:pt>
                <c:pt idx="11">
                  <c:v>180</c:v>
                </c:pt>
                <c:pt idx="12">
                  <c:v>82</c:v>
                </c:pt>
                <c:pt idx="13">
                  <c:v>300</c:v>
                </c:pt>
                <c:pt idx="14">
                  <c:v>91</c:v>
                </c:pt>
                <c:pt idx="15">
                  <c:v>304.8</c:v>
                </c:pt>
                <c:pt idx="17">
                  <c:v>125</c:v>
                </c:pt>
                <c:pt idx="18">
                  <c:v>85</c:v>
                </c:pt>
                <c:pt idx="21">
                  <c:v>80.2</c:v>
                </c:pt>
                <c:pt idx="22">
                  <c:v>152</c:v>
                </c:pt>
                <c:pt idx="23">
                  <c:v>75</c:v>
                </c:pt>
                <c:pt idx="24">
                  <c:v>150</c:v>
                </c:pt>
                <c:pt idx="25">
                  <c:v>145</c:v>
                </c:pt>
                <c:pt idx="27">
                  <c:v>187.5</c:v>
                </c:pt>
                <c:pt idx="29">
                  <c:v>122</c:v>
                </c:pt>
                <c:pt idx="31">
                  <c:v>470</c:v>
                </c:pt>
                <c:pt idx="32">
                  <c:v>65</c:v>
                </c:pt>
                <c:pt idx="33">
                  <c:v>165</c:v>
                </c:pt>
                <c:pt idx="38">
                  <c:v>176</c:v>
                </c:pt>
                <c:pt idx="39">
                  <c:v>150</c:v>
                </c:pt>
                <c:pt idx="40">
                  <c:v>39</c:v>
                </c:pt>
                <c:pt idx="41">
                  <c:v>110</c:v>
                </c:pt>
              </c:numCache>
            </c:numRef>
          </c:val>
          <c:smooth val="0"/>
          <c:extLst>
            <c:ext xmlns:c16="http://schemas.microsoft.com/office/drawing/2014/chart" uri="{C3380CC4-5D6E-409C-BE32-E72D297353CC}">
              <c16:uniqueId val="{00000005-770D-415C-9CAD-E5B46F3CDC78}"/>
            </c:ext>
          </c:extLst>
        </c:ser>
        <c:dLbls>
          <c:showLegendKey val="0"/>
          <c:showVal val="0"/>
          <c:showCatName val="0"/>
          <c:showSerName val="0"/>
          <c:showPercent val="0"/>
          <c:showBubbleSize val="0"/>
        </c:dLbls>
        <c:smooth val="0"/>
        <c:axId val="989729071"/>
        <c:axId val="989730031"/>
      </c:lineChart>
      <c:catAx>
        <c:axId val="989729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30031"/>
        <c:crosses val="autoZero"/>
        <c:auto val="1"/>
        <c:lblAlgn val="ctr"/>
        <c:lblOffset val="100"/>
        <c:noMultiLvlLbl val="0"/>
      </c:catAx>
      <c:valAx>
        <c:axId val="989730031"/>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2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Heuristica" panose="020206030507050202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4.7: </a:t>
            </a:r>
            <a:r>
              <a:rPr lang="en-US" sz="2000" b="1">
                <a:solidFill>
                  <a:srgbClr val="D4C029"/>
                </a:solidFill>
                <a:latin typeface="Heuristica" panose="02020603050705020204" pitchFamily="18" charset="0"/>
              </a:rPr>
              <a:t>Residential Property Price Index</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037968183133157"/>
          <c:y val="7.6354213679968266E-2"/>
          <c:w val="0.88350610263913243"/>
          <c:h val="0.78160796703113189"/>
        </c:manualLayout>
      </c:layout>
      <c:lineChart>
        <c:grouping val="standard"/>
        <c:varyColors val="0"/>
        <c:ser>
          <c:idx val="0"/>
          <c:order val="0"/>
          <c:spPr>
            <a:ln w="28575" cap="rnd">
              <a:solidFill>
                <a:srgbClr val="006E59"/>
              </a:solidFill>
              <a:round/>
            </a:ln>
            <a:effectLst/>
          </c:spPr>
          <c:marker>
            <c:symbol val="none"/>
          </c:marker>
          <c:cat>
            <c:multiLvlStrRef>
              <c:f>'4.7'!$A$5:$B$46</c:f>
              <c:multiLvlStrCache>
                <c:ptCount val="26"/>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lvl>
                <c:lvl>
                  <c:pt idx="0">
                    <c:v>2019</c:v>
                  </c:pt>
                  <c:pt idx="4">
                    <c:v>2020</c:v>
                  </c:pt>
                  <c:pt idx="8">
                    <c:v>2021</c:v>
                  </c:pt>
                  <c:pt idx="12">
                    <c:v>2022</c:v>
                  </c:pt>
                  <c:pt idx="16">
                    <c:v>2023</c:v>
                  </c:pt>
                  <c:pt idx="20">
                    <c:v>2024</c:v>
                  </c:pt>
                  <c:pt idx="24">
                    <c:v>2025</c:v>
                  </c:pt>
                </c:lvl>
              </c:multiLvlStrCache>
            </c:multiLvlStrRef>
          </c:cat>
          <c:val>
            <c:numRef>
              <c:f>'4.7'!$C$5:$C$46</c:f>
              <c:numCache>
                <c:formatCode>0.00</c:formatCode>
                <c:ptCount val="26"/>
                <c:pt idx="0">
                  <c:v>91.551155331460905</c:v>
                </c:pt>
                <c:pt idx="1">
                  <c:v>89.22</c:v>
                </c:pt>
                <c:pt idx="2">
                  <c:v>95.403099999999995</c:v>
                </c:pt>
                <c:pt idx="3">
                  <c:v>95.251607520328179</c:v>
                </c:pt>
                <c:pt idx="4">
                  <c:v>91.119505363649282</c:v>
                </c:pt>
                <c:pt idx="5">
                  <c:v>84.623151766668897</c:v>
                </c:pt>
                <c:pt idx="6">
                  <c:v>91.686201238802283</c:v>
                </c:pt>
                <c:pt idx="7">
                  <c:v>90.5611117452343</c:v>
                </c:pt>
                <c:pt idx="8">
                  <c:v>92.808932515815002</c:v>
                </c:pt>
                <c:pt idx="9">
                  <c:v>93.899765673219846</c:v>
                </c:pt>
                <c:pt idx="10">
                  <c:v>93.131352647141398</c:v>
                </c:pt>
                <c:pt idx="11">
                  <c:v>97.638403129749463</c:v>
                </c:pt>
                <c:pt idx="12">
                  <c:v>88.321705315755622</c:v>
                </c:pt>
                <c:pt idx="13">
                  <c:v>93.075397520400301</c:v>
                </c:pt>
                <c:pt idx="14">
                  <c:v>91.614072584775556</c:v>
                </c:pt>
                <c:pt idx="15">
                  <c:v>98.3083424424306</c:v>
                </c:pt>
                <c:pt idx="16">
                  <c:v>96.504717264317733</c:v>
                </c:pt>
                <c:pt idx="17">
                  <c:v>92.571367791018048</c:v>
                </c:pt>
                <c:pt idx="18">
                  <c:v>97.750458629683379</c:v>
                </c:pt>
                <c:pt idx="19">
                  <c:v>91.81814083801963</c:v>
                </c:pt>
                <c:pt idx="20">
                  <c:v>92.271451338033671</c:v>
                </c:pt>
                <c:pt idx="21">
                  <c:v>95.05464187326271</c:v>
                </c:pt>
                <c:pt idx="22">
                  <c:v>93.577306658926076</c:v>
                </c:pt>
                <c:pt idx="23">
                  <c:v>89.506827193450363</c:v>
                </c:pt>
                <c:pt idx="24">
                  <c:v>87.8</c:v>
                </c:pt>
                <c:pt idx="25">
                  <c:v>96.506069608326797</c:v>
                </c:pt>
              </c:numCache>
            </c:numRef>
          </c:val>
          <c:smooth val="0"/>
          <c:extLst>
            <c:ext xmlns:c16="http://schemas.microsoft.com/office/drawing/2014/chart" uri="{C3380CC4-5D6E-409C-BE32-E72D297353CC}">
              <c16:uniqueId val="{00000000-F5D3-43CE-B7C4-402A244921AA}"/>
            </c:ext>
          </c:extLst>
        </c:ser>
        <c:dLbls>
          <c:showLegendKey val="0"/>
          <c:showVal val="0"/>
          <c:showCatName val="0"/>
          <c:showSerName val="0"/>
          <c:showPercent val="0"/>
          <c:showBubbleSize val="0"/>
        </c:dLbls>
        <c:smooth val="0"/>
        <c:axId val="822380447"/>
        <c:axId val="822374207"/>
      </c:lineChart>
      <c:catAx>
        <c:axId val="822380447"/>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Geomanist" panose="02000503000000020004" pitchFamily="50" charset="0"/>
                <a:ea typeface="+mn-ea"/>
                <a:cs typeface="+mn-cs"/>
              </a:defRPr>
            </a:pPr>
            <a:endParaRPr lang="en-US"/>
          </a:p>
        </c:txPr>
        <c:crossAx val="822374207"/>
        <c:crosses val="autoZero"/>
        <c:auto val="1"/>
        <c:lblAlgn val="ctr"/>
        <c:lblOffset val="100"/>
        <c:noMultiLvlLbl val="0"/>
      </c:catAx>
      <c:valAx>
        <c:axId val="822374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crossAx val="822380447"/>
        <c:crosses val="autoZero"/>
        <c:crossBetween val="between"/>
      </c:valAx>
      <c:spPr>
        <a:noFill/>
        <a:ln w="19050">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5.1: </a:t>
            </a:r>
            <a:r>
              <a:rPr lang="en-US" sz="2000" b="1">
                <a:solidFill>
                  <a:srgbClr val="D4C029"/>
                </a:solidFill>
                <a:latin typeface="Heuristica" panose="02020603050705020204" pitchFamily="18" charset="0"/>
              </a:rPr>
              <a:t>Business Conditions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barChart>
        <c:barDir val="col"/>
        <c:grouping val="clustered"/>
        <c:varyColors val="0"/>
        <c:ser>
          <c:idx val="1"/>
          <c:order val="1"/>
          <c:tx>
            <c:strRef>
              <c:f>' 5.1'!$D$11</c:f>
              <c:strCache>
                <c:ptCount val="1"/>
                <c:pt idx="0">
                  <c:v>Current Business Conditions</c:v>
                </c:pt>
              </c:strCache>
            </c:strRef>
          </c:tx>
          <c:spPr>
            <a:solidFill>
              <a:srgbClr val="006E59"/>
            </a:solidFill>
            <a:ln>
              <a:solidFill>
                <a:srgbClr val="006E59"/>
              </a:solidFill>
            </a:ln>
            <a:effectLst/>
          </c:spPr>
          <c:invertIfNegative val="0"/>
          <c:cat>
            <c:multiLvlStrRef>
              <c:f>' 5.1'!$A$12:$B$72</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 5.1'!$D$12:$D$72</c:f>
              <c:numCache>
                <c:formatCode>0.0</c:formatCode>
                <c:ptCount val="61"/>
                <c:pt idx="0">
                  <c:v>50.130017682514506</c:v>
                </c:pt>
                <c:pt idx="1">
                  <c:v>50.508625267825586</c:v>
                </c:pt>
                <c:pt idx="2">
                  <c:v>50.065361903367872</c:v>
                </c:pt>
                <c:pt idx="3">
                  <c:v>50.005256436145345</c:v>
                </c:pt>
                <c:pt idx="4">
                  <c:v>50.080898002398534</c:v>
                </c:pt>
                <c:pt idx="5">
                  <c:v>50.191223878334903</c:v>
                </c:pt>
                <c:pt idx="6">
                  <c:v>50.634484223504451</c:v>
                </c:pt>
                <c:pt idx="7">
                  <c:v>50.539736999237483</c:v>
                </c:pt>
                <c:pt idx="8">
                  <c:v>50.434928451170997</c:v>
                </c:pt>
                <c:pt idx="9">
                  <c:v>49.993650253825955</c:v>
                </c:pt>
                <c:pt idx="10">
                  <c:v>50.125919049872728</c:v>
                </c:pt>
                <c:pt idx="11">
                  <c:v>50.021500240882652</c:v>
                </c:pt>
                <c:pt idx="12">
                  <c:v>50.2662490022336</c:v>
                </c:pt>
                <c:pt idx="13">
                  <c:v>49.255052069212297</c:v>
                </c:pt>
                <c:pt idx="14">
                  <c:v>50.345561115588332</c:v>
                </c:pt>
                <c:pt idx="15">
                  <c:v>50.073139667821309</c:v>
                </c:pt>
                <c:pt idx="16">
                  <c:v>50.28179873922614</c:v>
                </c:pt>
                <c:pt idx="17">
                  <c:v>50.356510302731664</c:v>
                </c:pt>
                <c:pt idx="18">
                  <c:v>50.104434111519112</c:v>
                </c:pt>
                <c:pt idx="19">
                  <c:v>50.272973531556843</c:v>
                </c:pt>
                <c:pt idx="20">
                  <c:v>50.25380720336689</c:v>
                </c:pt>
                <c:pt idx="21">
                  <c:v>50.025092720703668</c:v>
                </c:pt>
                <c:pt idx="22">
                  <c:v>50.330096265748004</c:v>
                </c:pt>
                <c:pt idx="23">
                  <c:v>50.446145200518018</c:v>
                </c:pt>
                <c:pt idx="24">
                  <c:v>49.83823046584024</c:v>
                </c:pt>
                <c:pt idx="25">
                  <c:v>50.077539988407139</c:v>
                </c:pt>
                <c:pt idx="26">
                  <c:v>49.949508337220252</c:v>
                </c:pt>
                <c:pt idx="27">
                  <c:v>50.300900182268919</c:v>
                </c:pt>
                <c:pt idx="28">
                  <c:v>50.043123363441261</c:v>
                </c:pt>
                <c:pt idx="29">
                  <c:v>49.972845485770627</c:v>
                </c:pt>
                <c:pt idx="30">
                  <c:v>50.156115820696556</c:v>
                </c:pt>
                <c:pt idx="31">
                  <c:v>49.814915705435787</c:v>
                </c:pt>
                <c:pt idx="32">
                  <c:v>49.794871452893496</c:v>
                </c:pt>
                <c:pt idx="33">
                  <c:v>49.982637897795726</c:v>
                </c:pt>
                <c:pt idx="34">
                  <c:v>49.963755698584229</c:v>
                </c:pt>
                <c:pt idx="35">
                  <c:v>50.560029759599495</c:v>
                </c:pt>
                <c:pt idx="36">
                  <c:v>50.564127835462315</c:v>
                </c:pt>
                <c:pt idx="37">
                  <c:v>50.078750557376772</c:v>
                </c:pt>
                <c:pt idx="38">
                  <c:v>49.662223306452688</c:v>
                </c:pt>
                <c:pt idx="39">
                  <c:v>50.102437288649178</c:v>
                </c:pt>
                <c:pt idx="40">
                  <c:v>49.992694696757297</c:v>
                </c:pt>
                <c:pt idx="41">
                  <c:v>50.167524747863766</c:v>
                </c:pt>
                <c:pt idx="42">
                  <c:v>50.139441339533654</c:v>
                </c:pt>
                <c:pt idx="43">
                  <c:v>50.019697656621055</c:v>
                </c:pt>
                <c:pt idx="44">
                  <c:v>49.86105055555695</c:v>
                </c:pt>
                <c:pt idx="45">
                  <c:v>49.863536198898963</c:v>
                </c:pt>
                <c:pt idx="46">
                  <c:v>49.956975804588957</c:v>
                </c:pt>
                <c:pt idx="47">
                  <c:v>50.001031081477834</c:v>
                </c:pt>
                <c:pt idx="48">
                  <c:v>50.21588030844773</c:v>
                </c:pt>
                <c:pt idx="49">
                  <c:v>50.193663823149144</c:v>
                </c:pt>
                <c:pt idx="50">
                  <c:v>50.285090264765756</c:v>
                </c:pt>
                <c:pt idx="51">
                  <c:v>49.967062082968951</c:v>
                </c:pt>
                <c:pt idx="52">
                  <c:v>49.990210347410084</c:v>
                </c:pt>
                <c:pt idx="53">
                  <c:v>50.337506151330587</c:v>
                </c:pt>
                <c:pt idx="54">
                  <c:v>49.961939581900161</c:v>
                </c:pt>
                <c:pt idx="55">
                  <c:v>49.888539814545119</c:v>
                </c:pt>
                <c:pt idx="56">
                  <c:v>49.885862927545432</c:v>
                </c:pt>
                <c:pt idx="57">
                  <c:v>49.734358900456527</c:v>
                </c:pt>
                <c:pt idx="58">
                  <c:v>50</c:v>
                </c:pt>
                <c:pt idx="59">
                  <c:v>50.3041909957632</c:v>
                </c:pt>
                <c:pt idx="60">
                  <c:v>50.018210817277797</c:v>
                </c:pt>
              </c:numCache>
            </c:numRef>
          </c:val>
          <c:extLst>
            <c:ext xmlns:c16="http://schemas.microsoft.com/office/drawing/2014/chart" uri="{C3380CC4-5D6E-409C-BE32-E72D297353CC}">
              <c16:uniqueId val="{00000000-9B8A-45DD-AD2F-2E192776F9A1}"/>
            </c:ext>
          </c:extLst>
        </c:ser>
        <c:ser>
          <c:idx val="2"/>
          <c:order val="2"/>
          <c:tx>
            <c:strRef>
              <c:f>' 5.1'!$E$11</c:f>
              <c:strCache>
                <c:ptCount val="1"/>
                <c:pt idx="0">
                  <c:v>1M Ahead Business Conditions</c:v>
                </c:pt>
              </c:strCache>
            </c:strRef>
          </c:tx>
          <c:spPr>
            <a:solidFill>
              <a:srgbClr val="D4C029"/>
            </a:solidFill>
            <a:ln>
              <a:solidFill>
                <a:srgbClr val="D4C029"/>
              </a:solidFill>
            </a:ln>
            <a:effectLst/>
          </c:spPr>
          <c:invertIfNegative val="0"/>
          <c:cat>
            <c:multiLvlStrRef>
              <c:f>' 5.1'!$A$12:$B$72</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 5.1'!$E$12:$E$72</c:f>
              <c:numCache>
                <c:formatCode>0.0</c:formatCode>
                <c:ptCount val="61"/>
                <c:pt idx="0">
                  <c:v>50.227440039951787</c:v>
                </c:pt>
                <c:pt idx="1">
                  <c:v>49.897078745807178</c:v>
                </c:pt>
                <c:pt idx="2">
                  <c:v>50.406019895687848</c:v>
                </c:pt>
                <c:pt idx="3">
                  <c:v>50.296828422780457</c:v>
                </c:pt>
                <c:pt idx="4">
                  <c:v>50.577898440013755</c:v>
                </c:pt>
                <c:pt idx="5">
                  <c:v>50.441811675005987</c:v>
                </c:pt>
                <c:pt idx="6">
                  <c:v>50.678024650400644</c:v>
                </c:pt>
                <c:pt idx="7">
                  <c:v>50.533996711365596</c:v>
                </c:pt>
                <c:pt idx="8">
                  <c:v>50.350520981267579</c:v>
                </c:pt>
                <c:pt idx="9">
                  <c:v>50.531161872298384</c:v>
                </c:pt>
                <c:pt idx="10">
                  <c:v>50.003487012377498</c:v>
                </c:pt>
                <c:pt idx="11">
                  <c:v>50</c:v>
                </c:pt>
                <c:pt idx="12">
                  <c:v>49.719093673582378</c:v>
                </c:pt>
                <c:pt idx="13">
                  <c:v>50.104227183586161</c:v>
                </c:pt>
                <c:pt idx="14">
                  <c:v>49.515585344858373</c:v>
                </c:pt>
                <c:pt idx="15">
                  <c:v>50.634682195323983</c:v>
                </c:pt>
                <c:pt idx="16">
                  <c:v>50.387020545012646</c:v>
                </c:pt>
                <c:pt idx="17">
                  <c:v>50.393482064948323</c:v>
                </c:pt>
                <c:pt idx="18">
                  <c:v>50.275331209867154</c:v>
                </c:pt>
                <c:pt idx="19">
                  <c:v>50.614390379365723</c:v>
                </c:pt>
                <c:pt idx="20">
                  <c:v>50.394152966076852</c:v>
                </c:pt>
                <c:pt idx="21">
                  <c:v>50.431810852182537</c:v>
                </c:pt>
                <c:pt idx="22">
                  <c:v>50.090841741284251</c:v>
                </c:pt>
                <c:pt idx="23">
                  <c:v>50.329477067156908</c:v>
                </c:pt>
                <c:pt idx="24">
                  <c:v>50.401590930545055</c:v>
                </c:pt>
                <c:pt idx="25">
                  <c:v>50.299211222115815</c:v>
                </c:pt>
                <c:pt idx="26">
                  <c:v>50.449766345847479</c:v>
                </c:pt>
                <c:pt idx="27">
                  <c:v>50.465917903472267</c:v>
                </c:pt>
                <c:pt idx="28">
                  <c:v>50.128329959396076</c:v>
                </c:pt>
                <c:pt idx="29">
                  <c:v>50.534142883072072</c:v>
                </c:pt>
                <c:pt idx="30">
                  <c:v>50.168062114119451</c:v>
                </c:pt>
                <c:pt idx="31">
                  <c:v>49.819946281074905</c:v>
                </c:pt>
                <c:pt idx="32">
                  <c:v>50.233814752267151</c:v>
                </c:pt>
                <c:pt idx="33">
                  <c:v>49.795180855858497</c:v>
                </c:pt>
                <c:pt idx="34">
                  <c:v>50.60217576248376</c:v>
                </c:pt>
                <c:pt idx="35">
                  <c:v>50.353899760858774</c:v>
                </c:pt>
                <c:pt idx="36">
                  <c:v>50.105681620410955</c:v>
                </c:pt>
                <c:pt idx="37">
                  <c:v>50.44762605281683</c:v>
                </c:pt>
                <c:pt idx="38">
                  <c:v>50.049320930571923</c:v>
                </c:pt>
                <c:pt idx="39">
                  <c:v>50.040182998274396</c:v>
                </c:pt>
                <c:pt idx="40">
                  <c:v>50.522800335820513</c:v>
                </c:pt>
                <c:pt idx="41">
                  <c:v>50.008417728594686</c:v>
                </c:pt>
                <c:pt idx="42">
                  <c:v>50.178598815433638</c:v>
                </c:pt>
                <c:pt idx="43">
                  <c:v>50.158149138492</c:v>
                </c:pt>
                <c:pt idx="44">
                  <c:v>50.175229271459926</c:v>
                </c:pt>
                <c:pt idx="45">
                  <c:v>50.160788703049896</c:v>
                </c:pt>
                <c:pt idx="46">
                  <c:v>49.978304443082386</c:v>
                </c:pt>
                <c:pt idx="47">
                  <c:v>50.312488930000001</c:v>
                </c:pt>
                <c:pt idx="48">
                  <c:v>50.263790404723217</c:v>
                </c:pt>
                <c:pt idx="49">
                  <c:v>50.155122275701821</c:v>
                </c:pt>
                <c:pt idx="50">
                  <c:v>50.066081143521416</c:v>
                </c:pt>
                <c:pt idx="51">
                  <c:v>50.024920965028599</c:v>
                </c:pt>
                <c:pt idx="52">
                  <c:v>50.396542649247209</c:v>
                </c:pt>
                <c:pt idx="53">
                  <c:v>50.33455787638465</c:v>
                </c:pt>
                <c:pt idx="54">
                  <c:v>50.285077881177941</c:v>
                </c:pt>
                <c:pt idx="55">
                  <c:v>50.305477299544215</c:v>
                </c:pt>
                <c:pt idx="56">
                  <c:v>50.095853277374516</c:v>
                </c:pt>
                <c:pt idx="57">
                  <c:v>50.338515567213619</c:v>
                </c:pt>
                <c:pt idx="58" formatCode="General">
                  <c:v>50.4</c:v>
                </c:pt>
                <c:pt idx="59">
                  <c:v>50.073379667155599</c:v>
                </c:pt>
                <c:pt idx="60">
                  <c:v>49.959816412642098</c:v>
                </c:pt>
              </c:numCache>
            </c:numRef>
          </c:val>
          <c:extLst>
            <c:ext xmlns:c16="http://schemas.microsoft.com/office/drawing/2014/chart" uri="{C3380CC4-5D6E-409C-BE32-E72D297353CC}">
              <c16:uniqueId val="{00000001-9B8A-45DD-AD2F-2E192776F9A1}"/>
            </c:ext>
          </c:extLst>
        </c:ser>
        <c:dLbls>
          <c:showLegendKey val="0"/>
          <c:showVal val="0"/>
          <c:showCatName val="0"/>
          <c:showSerName val="0"/>
          <c:showPercent val="0"/>
          <c:showBubbleSize val="0"/>
        </c:dLbls>
        <c:gapWidth val="219"/>
        <c:axId val="1834176224"/>
        <c:axId val="1835053040"/>
      </c:barChart>
      <c:lineChart>
        <c:grouping val="standard"/>
        <c:varyColors val="0"/>
        <c:ser>
          <c:idx val="0"/>
          <c:order val="0"/>
          <c:tx>
            <c:strRef>
              <c:f>' 5.1'!$C$10:$C$11</c:f>
              <c:strCache>
                <c:ptCount val="2"/>
                <c:pt idx="0">
                  <c:v>Threshold</c:v>
                </c:pt>
              </c:strCache>
            </c:strRef>
          </c:tx>
          <c:spPr>
            <a:ln w="28575" cap="rnd">
              <a:solidFill>
                <a:schemeClr val="tx1">
                  <a:lumMod val="50000"/>
                  <a:lumOff val="50000"/>
                </a:schemeClr>
              </a:solidFill>
              <a:round/>
            </a:ln>
            <a:effectLst/>
          </c:spPr>
          <c:marker>
            <c:symbol val="none"/>
          </c:marker>
          <c:cat>
            <c:multiLvlStrRef>
              <c:f>' 5.1'!$A$12:$B$72</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 5.1'!$C$12:$C$72</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2-9B8A-45DD-AD2F-2E192776F9A1}"/>
            </c:ext>
          </c:extLst>
        </c:ser>
        <c:dLbls>
          <c:showLegendKey val="0"/>
          <c:showVal val="0"/>
          <c:showCatName val="0"/>
          <c:showSerName val="0"/>
          <c:showPercent val="0"/>
          <c:showBubbleSize val="0"/>
        </c:dLbls>
        <c:marker val="1"/>
        <c:smooth val="0"/>
        <c:axId val="1834176224"/>
        <c:axId val="1835053040"/>
      </c:lineChart>
      <c:catAx>
        <c:axId val="183417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Geomanist" panose="02000503000000020004" pitchFamily="50" charset="0"/>
                <a:ea typeface="+mn-ea"/>
                <a:cs typeface="+mn-cs"/>
              </a:defRPr>
            </a:pPr>
            <a:endParaRPr lang="en-US"/>
          </a:p>
        </c:txPr>
        <c:crossAx val="1835053040"/>
        <c:crosses val="autoZero"/>
        <c:auto val="1"/>
        <c:lblAlgn val="ctr"/>
        <c:lblOffset val="100"/>
        <c:noMultiLvlLbl val="0"/>
      </c:catAx>
      <c:valAx>
        <c:axId val="1835053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417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rgbClr val="006E59"/>
                </a:solidFill>
                <a:latin typeface="Geomanist Bold" panose="02000503000000020004" pitchFamily="50" charset="0"/>
                <a:ea typeface="+mn-ea"/>
                <a:cs typeface="+mn-cs"/>
              </a:defRPr>
            </a:pPr>
            <a:r>
              <a:rPr lang="en-US" sz="1000" b="1">
                <a:solidFill>
                  <a:srgbClr val="006E59"/>
                </a:solidFill>
                <a:latin typeface="Geomanist Bold" panose="02000503000000020004" pitchFamily="50" charset="0"/>
              </a:rPr>
              <a:t>Oil and Gas Related</a:t>
            </a:r>
          </a:p>
        </c:rich>
      </c:tx>
      <c:overlay val="0"/>
      <c:spPr>
        <a:noFill/>
        <a:ln>
          <a:noFill/>
        </a:ln>
        <a:effectLst/>
      </c:spPr>
      <c:txPr>
        <a:bodyPr rot="0" spcFirstLastPara="1" vertOverflow="ellipsis" vert="horz" wrap="square" anchor="ctr" anchorCtr="1"/>
        <a:lstStyle/>
        <a:p>
          <a:pPr>
            <a:defRPr sz="1000" b="1"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manualLayout>
          <c:layoutTarget val="inner"/>
          <c:xMode val="edge"/>
          <c:yMode val="edge"/>
          <c:x val="8.6825556709907464E-2"/>
          <c:y val="0.13572404295725377"/>
          <c:w val="0.88323679326027638"/>
          <c:h val="0.61652085156022163"/>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80D0-4F2A-A5E4-C90F3E9BF48D}"/>
            </c:ext>
          </c:extLst>
        </c:ser>
        <c:ser>
          <c:idx val="1"/>
          <c:order val="1"/>
          <c:tx>
            <c:strRef>
              <c:f>'5.2 '!$D$7</c:f>
              <c:strCache>
                <c:ptCount val="1"/>
                <c:pt idx="0">
                  <c:v>Oil and Gas Related</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'!$D$8:$D$68</c:f>
              <c:numCache>
                <c:formatCode>0.0</c:formatCode>
                <c:ptCount val="61"/>
                <c:pt idx="0">
                  <c:v>50.140525195173879</c:v>
                </c:pt>
                <c:pt idx="1">
                  <c:v>50.77350246652572</c:v>
                </c:pt>
                <c:pt idx="2">
                  <c:v>50.088458434221145</c:v>
                </c:pt>
                <c:pt idx="3">
                  <c:v>50.017430754536768</c:v>
                </c:pt>
                <c:pt idx="4">
                  <c:v>50.112759643916917</c:v>
                </c:pt>
                <c:pt idx="5">
                  <c:v>50.233869798463097</c:v>
                </c:pt>
                <c:pt idx="6">
                  <c:v>50.852259950528449</c:v>
                </c:pt>
                <c:pt idx="7">
                  <c:v>50.734939759036145</c:v>
                </c:pt>
                <c:pt idx="8">
                  <c:v>50.61665449233017</c:v>
                </c:pt>
                <c:pt idx="9">
                  <c:v>49.887183422870301</c:v>
                </c:pt>
                <c:pt idx="10">
                  <c:v>50.226153619342476</c:v>
                </c:pt>
                <c:pt idx="11">
                  <c:v>50.031803227322577</c:v>
                </c:pt>
                <c:pt idx="12">
                  <c:v>50.516041747197526</c:v>
                </c:pt>
                <c:pt idx="13">
                  <c:v>49.150281507145948</c:v>
                </c:pt>
                <c:pt idx="14">
                  <c:v>50.721375103964512</c:v>
                </c:pt>
                <c:pt idx="15">
                  <c:v>50.134897745149452</c:v>
                </c:pt>
                <c:pt idx="16">
                  <c:v>50.329548420777861</c:v>
                </c:pt>
                <c:pt idx="17">
                  <c:v>50.469353484466836</c:v>
                </c:pt>
                <c:pt idx="18">
                  <c:v>50.240911294231701</c:v>
                </c:pt>
                <c:pt idx="19">
                  <c:v>50.479177377892029</c:v>
                </c:pt>
                <c:pt idx="20">
                  <c:v>50.307459677419352</c:v>
                </c:pt>
                <c:pt idx="21">
                  <c:v>49.979918185198962</c:v>
                </c:pt>
                <c:pt idx="22">
                  <c:v>50.407378640776699</c:v>
                </c:pt>
                <c:pt idx="23">
                  <c:v>50.576108870967744</c:v>
                </c:pt>
                <c:pt idx="24">
                  <c:v>49.746598873162014</c:v>
                </c:pt>
                <c:pt idx="25">
                  <c:v>50.048465473145782</c:v>
                </c:pt>
                <c:pt idx="26">
                  <c:v>49.892733118971059</c:v>
                </c:pt>
                <c:pt idx="27">
                  <c:v>50.40748841996912</c:v>
                </c:pt>
                <c:pt idx="28">
                  <c:v>50.070690811535883</c:v>
                </c:pt>
                <c:pt idx="29">
                  <c:v>49.933893627696939</c:v>
                </c:pt>
                <c:pt idx="30">
                  <c:v>50.256264236902048</c:v>
                </c:pt>
                <c:pt idx="31">
                  <c:v>49.643878575012543</c:v>
                </c:pt>
                <c:pt idx="32">
                  <c:v>49.664401463669627</c:v>
                </c:pt>
                <c:pt idx="33">
                  <c:v>49.972962279082033</c:v>
                </c:pt>
                <c:pt idx="34">
                  <c:v>49.911580005023865</c:v>
                </c:pt>
                <c:pt idx="35">
                  <c:v>50.798636129696348</c:v>
                </c:pt>
                <c:pt idx="36">
                  <c:v>50.835342465753428</c:v>
                </c:pt>
                <c:pt idx="37">
                  <c:v>50.054010629094059</c:v>
                </c:pt>
                <c:pt idx="38">
                  <c:v>49.437086092715234</c:v>
                </c:pt>
                <c:pt idx="39">
                  <c:v>50.131558542258979</c:v>
                </c:pt>
                <c:pt idx="40">
                  <c:v>49.987971934513865</c:v>
                </c:pt>
                <c:pt idx="41">
                  <c:v>50.171993533142647</c:v>
                </c:pt>
                <c:pt idx="42">
                  <c:v>50.279757901815735</c:v>
                </c:pt>
                <c:pt idx="43">
                  <c:v>49.978860392746</c:v>
                </c:pt>
                <c:pt idx="44">
                  <c:v>49.736124326038691</c:v>
                </c:pt>
                <c:pt idx="45">
                  <c:v>49.806627516778526</c:v>
                </c:pt>
                <c:pt idx="46">
                  <c:v>49.945393258426968</c:v>
                </c:pt>
                <c:pt idx="47">
                  <c:v>50.020658557046978</c:v>
                </c:pt>
                <c:pt idx="48">
                  <c:v>50.262898917475049</c:v>
                </c:pt>
                <c:pt idx="49">
                  <c:v>50.230583543241003</c:v>
                </c:pt>
                <c:pt idx="50">
                  <c:v>50.379614093959731</c:v>
                </c:pt>
                <c:pt idx="51">
                  <c:v>49.980494966442954</c:v>
                </c:pt>
                <c:pt idx="52">
                  <c:v>50</c:v>
                </c:pt>
                <c:pt idx="53">
                  <c:v>50.433375904640272</c:v>
                </c:pt>
                <c:pt idx="54">
                  <c:v>50.016331658291456</c:v>
                </c:pt>
                <c:pt idx="55">
                  <c:v>49.854740956925568</c:v>
                </c:pt>
                <c:pt idx="56">
                  <c:v>49.772869087732438</c:v>
                </c:pt>
                <c:pt idx="57">
                  <c:v>49.587245696400629</c:v>
                </c:pt>
                <c:pt idx="58">
                  <c:v>50.1</c:v>
                </c:pt>
                <c:pt idx="59">
                  <c:v>50.403034482758599</c:v>
                </c:pt>
                <c:pt idx="60">
                  <c:v>50.074043490228497</c:v>
                </c:pt>
              </c:numCache>
            </c:numRef>
          </c:val>
          <c:smooth val="0"/>
          <c:extLst>
            <c:ext xmlns:c16="http://schemas.microsoft.com/office/drawing/2014/chart" uri="{C3380CC4-5D6E-409C-BE32-E72D297353CC}">
              <c16:uniqueId val="{00000001-80D0-4F2A-A5E4-C90F3E9BF48D}"/>
            </c:ext>
          </c:extLst>
        </c:ser>
        <c:dLbls>
          <c:showLegendKey val="0"/>
          <c:showVal val="0"/>
          <c:showCatName val="0"/>
          <c:showSerName val="0"/>
          <c:showPercent val="0"/>
          <c:showBubbleSize val="0"/>
        </c:dLbls>
        <c:smooth val="0"/>
        <c:axId val="1442801295"/>
        <c:axId val="1442805039"/>
      </c:lineChart>
      <c:catAx>
        <c:axId val="144280129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a:outerShdw blurRad="50800" sx="2000" sy="2000" algn="ctr" rotWithShape="0">
              <a:srgbClr val="000000"/>
            </a:outerShdw>
          </a:effectLst>
        </c:spPr>
        <c:txPr>
          <a:bodyPr rot="-5400000" spcFirstLastPara="1" vertOverflow="ellipsis"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5039"/>
        <c:crosses val="autoZero"/>
        <c:auto val="1"/>
        <c:lblAlgn val="ctr"/>
        <c:lblOffset val="100"/>
        <c:tickMarkSkip val="1"/>
        <c:noMultiLvlLbl val="0"/>
      </c:catAx>
      <c:valAx>
        <c:axId val="144280503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1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Manufacturing</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manualLayout>
          <c:layoutTarget val="inner"/>
          <c:xMode val="edge"/>
          <c:yMode val="edge"/>
          <c:x val="8.6387836947314944E-2"/>
          <c:y val="0.14282352941176471"/>
          <c:w val="0.88749316975277648"/>
          <c:h val="0.62740127569523896"/>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03C3-421E-8566-C9110188BB36}"/>
            </c:ext>
          </c:extLst>
        </c:ser>
        <c:ser>
          <c:idx val="1"/>
          <c:order val="1"/>
          <c:tx>
            <c:strRef>
              <c:f>'5.2 '!$E$7</c:f>
              <c:strCache>
                <c:ptCount val="1"/>
                <c:pt idx="0">
                  <c:v>Manufacturing</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'!$E$8:$E$68</c:f>
              <c:numCache>
                <c:formatCode>0.0</c:formatCode>
                <c:ptCount val="61"/>
                <c:pt idx="0">
                  <c:v>50.228551085795658</c:v>
                </c:pt>
                <c:pt idx="1">
                  <c:v>49.940409026798307</c:v>
                </c:pt>
                <c:pt idx="2">
                  <c:v>49.921508034610632</c:v>
                </c:pt>
                <c:pt idx="3">
                  <c:v>49.96876549330689</c:v>
                </c:pt>
                <c:pt idx="4">
                  <c:v>50.11705685618729</c:v>
                </c:pt>
                <c:pt idx="5">
                  <c:v>50.103077816492451</c:v>
                </c:pt>
                <c:pt idx="6">
                  <c:v>49.829320113314445</c:v>
                </c:pt>
                <c:pt idx="7">
                  <c:v>50.198836081474298</c:v>
                </c:pt>
                <c:pt idx="8">
                  <c:v>50.070987654320987</c:v>
                </c:pt>
                <c:pt idx="9">
                  <c:v>50.027101200686104</c:v>
                </c:pt>
                <c:pt idx="10">
                  <c:v>50.073703041144903</c:v>
                </c:pt>
                <c:pt idx="11">
                  <c:v>50.075227963525833</c:v>
                </c:pt>
                <c:pt idx="12">
                  <c:v>49.755297050270045</c:v>
                </c:pt>
                <c:pt idx="13">
                  <c:v>49.48669741042923</c:v>
                </c:pt>
                <c:pt idx="14">
                  <c:v>49.407789613848202</c:v>
                </c:pt>
                <c:pt idx="15">
                  <c:v>49.862385321100916</c:v>
                </c:pt>
                <c:pt idx="16">
                  <c:v>49.997387328543432</c:v>
                </c:pt>
                <c:pt idx="17">
                  <c:v>50.115144302290986</c:v>
                </c:pt>
                <c:pt idx="18">
                  <c:v>49.89110707803993</c:v>
                </c:pt>
                <c:pt idx="19">
                  <c:v>49.678303519907672</c:v>
                </c:pt>
                <c:pt idx="20">
                  <c:v>49.976548186148776</c:v>
                </c:pt>
                <c:pt idx="21">
                  <c:v>50.009894867037723</c:v>
                </c:pt>
                <c:pt idx="22">
                  <c:v>50.101908957415567</c:v>
                </c:pt>
                <c:pt idx="23">
                  <c:v>50.036860502065458</c:v>
                </c:pt>
                <c:pt idx="24">
                  <c:v>50.112898827379333</c:v>
                </c:pt>
                <c:pt idx="25">
                  <c:v>49.938329646017699</c:v>
                </c:pt>
                <c:pt idx="26">
                  <c:v>49.899755501222494</c:v>
                </c:pt>
                <c:pt idx="27">
                  <c:v>50.020408163265309</c:v>
                </c:pt>
                <c:pt idx="28">
                  <c:v>50.014474899907604</c:v>
                </c:pt>
                <c:pt idx="29">
                  <c:v>50.030077728962489</c:v>
                </c:pt>
                <c:pt idx="30">
                  <c:v>50.150184275184273</c:v>
                </c:pt>
                <c:pt idx="31">
                  <c:v>50.255237533195633</c:v>
                </c:pt>
                <c:pt idx="32">
                  <c:v>50.062965470548406</c:v>
                </c:pt>
                <c:pt idx="33">
                  <c:v>49.999711981566819</c:v>
                </c:pt>
                <c:pt idx="34">
                  <c:v>49.925811437403404</c:v>
                </c:pt>
                <c:pt idx="35">
                  <c:v>50.04273014052194</c:v>
                </c:pt>
                <c:pt idx="36">
                  <c:v>49.889470622454915</c:v>
                </c:pt>
                <c:pt idx="37">
                  <c:v>50.060250817884409</c:v>
                </c:pt>
                <c:pt idx="38">
                  <c:v>50.180987724807309</c:v>
                </c:pt>
                <c:pt idx="39">
                  <c:v>50.022135051835249</c:v>
                </c:pt>
                <c:pt idx="40">
                  <c:v>49.960045019696118</c:v>
                </c:pt>
                <c:pt idx="41">
                  <c:v>50.105437068188643</c:v>
                </c:pt>
                <c:pt idx="42">
                  <c:v>49.880895826263995</c:v>
                </c:pt>
                <c:pt idx="43">
                  <c:v>50.167748215444519</c:v>
                </c:pt>
                <c:pt idx="44">
                  <c:v>49.747454175152747</c:v>
                </c:pt>
                <c:pt idx="45">
                  <c:v>50.040909090909089</c:v>
                </c:pt>
                <c:pt idx="46">
                  <c:v>49.918544752092721</c:v>
                </c:pt>
                <c:pt idx="47">
                  <c:v>50.031724137931036</c:v>
                </c:pt>
                <c:pt idx="48">
                  <c:v>49.766487851057114</c:v>
                </c:pt>
                <c:pt idx="49">
                  <c:v>50.074085750315255</c:v>
                </c:pt>
                <c:pt idx="50">
                  <c:v>49.989266547406082</c:v>
                </c:pt>
                <c:pt idx="51">
                  <c:v>49.890588626538076</c:v>
                </c:pt>
                <c:pt idx="52">
                  <c:v>50.1</c:v>
                </c:pt>
                <c:pt idx="53">
                  <c:v>50.137735849056604</c:v>
                </c:pt>
                <c:pt idx="54">
                  <c:v>49.97768817204301</c:v>
                </c:pt>
                <c:pt idx="55">
                  <c:v>49.952769679300289</c:v>
                </c:pt>
                <c:pt idx="56">
                  <c:v>50.116188353301759</c:v>
                </c:pt>
                <c:pt idx="57">
                  <c:v>49.96380334954079</c:v>
                </c:pt>
                <c:pt idx="58">
                  <c:v>49.9</c:v>
                </c:pt>
                <c:pt idx="59">
                  <c:v>49.963200934579397</c:v>
                </c:pt>
                <c:pt idx="60">
                  <c:v>49.868548617051601</c:v>
                </c:pt>
              </c:numCache>
            </c:numRef>
          </c:val>
          <c:smooth val="0"/>
          <c:extLst>
            <c:ext xmlns:c16="http://schemas.microsoft.com/office/drawing/2014/chart" uri="{C3380CC4-5D6E-409C-BE32-E72D297353CC}">
              <c16:uniqueId val="{00000001-03C3-421E-8566-C9110188BB36}"/>
            </c:ext>
          </c:extLst>
        </c:ser>
        <c:dLbls>
          <c:showLegendKey val="0"/>
          <c:showVal val="0"/>
          <c:showCatName val="0"/>
          <c:showSerName val="0"/>
          <c:showPercent val="0"/>
          <c:showBubbleSize val="0"/>
        </c:dLbls>
        <c:smooth val="0"/>
        <c:axId val="1442793807"/>
        <c:axId val="1442798799"/>
      </c:lineChart>
      <c:catAx>
        <c:axId val="144279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8799"/>
        <c:crosses val="autoZero"/>
        <c:auto val="1"/>
        <c:lblAlgn val="ctr"/>
        <c:lblOffset val="100"/>
        <c:noMultiLvlLbl val="0"/>
      </c:catAx>
      <c:valAx>
        <c:axId val="1442798799"/>
        <c:scaling>
          <c:orientation val="minMax"/>
          <c:max val="50.4"/>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8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Construction</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manualLayout>
          <c:layoutTarget val="inner"/>
          <c:xMode val="edge"/>
          <c:yMode val="edge"/>
          <c:x val="8.6513044680211509E-2"/>
          <c:y val="0.15790719696969696"/>
          <c:w val="0.88364161060605706"/>
          <c:h val="0.63351452517298978"/>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3B00-430A-B621-7B46D3CF47C4}"/>
            </c:ext>
          </c:extLst>
        </c:ser>
        <c:ser>
          <c:idx val="1"/>
          <c:order val="1"/>
          <c:tx>
            <c:strRef>
              <c:f>'5.2 '!$F$7</c:f>
              <c:strCache>
                <c:ptCount val="1"/>
                <c:pt idx="0">
                  <c:v>Construction</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'!$F$8:$F$68</c:f>
              <c:numCache>
                <c:formatCode>0.0</c:formatCode>
                <c:ptCount val="61"/>
                <c:pt idx="0">
                  <c:v>50.011239368165249</c:v>
                </c:pt>
                <c:pt idx="1">
                  <c:v>50.012048192771083</c:v>
                </c:pt>
                <c:pt idx="2">
                  <c:v>49.9922358205027</c:v>
                </c:pt>
                <c:pt idx="3">
                  <c:v>49.965884279475979</c:v>
                </c:pt>
                <c:pt idx="4">
                  <c:v>49.783506583506586</c:v>
                </c:pt>
                <c:pt idx="5">
                  <c:v>49.862371888726209</c:v>
                </c:pt>
                <c:pt idx="6">
                  <c:v>49.947939580583665</c:v>
                </c:pt>
                <c:pt idx="7">
                  <c:v>50.30687981729946</c:v>
                </c:pt>
                <c:pt idx="8">
                  <c:v>49.961343385880738</c:v>
                </c:pt>
                <c:pt idx="9">
                  <c:v>49.860483447188649</c:v>
                </c:pt>
                <c:pt idx="10">
                  <c:v>49.928823612484109</c:v>
                </c:pt>
                <c:pt idx="11">
                  <c:v>50.004355767879723</c:v>
                </c:pt>
                <c:pt idx="12">
                  <c:v>49.556892402887591</c:v>
                </c:pt>
                <c:pt idx="13">
                  <c:v>49.278996315143011</c:v>
                </c:pt>
                <c:pt idx="14">
                  <c:v>49.590697674418607</c:v>
                </c:pt>
                <c:pt idx="15">
                  <c:v>49.511504120879124</c:v>
                </c:pt>
                <c:pt idx="16">
                  <c:v>49.503168396925979</c:v>
                </c:pt>
                <c:pt idx="17">
                  <c:v>49.70549993498895</c:v>
                </c:pt>
                <c:pt idx="18">
                  <c:v>49.656110330736816</c:v>
                </c:pt>
                <c:pt idx="19">
                  <c:v>49.554210456299053</c:v>
                </c:pt>
                <c:pt idx="20">
                  <c:v>49.702777050039295</c:v>
                </c:pt>
                <c:pt idx="21">
                  <c:v>50.1418755566866</c:v>
                </c:pt>
                <c:pt idx="22">
                  <c:v>50.190282370897989</c:v>
                </c:pt>
                <c:pt idx="23">
                  <c:v>50.020827264782987</c:v>
                </c:pt>
                <c:pt idx="24">
                  <c:v>49.61049911600707</c:v>
                </c:pt>
                <c:pt idx="25">
                  <c:v>50.053175092478419</c:v>
                </c:pt>
                <c:pt idx="26">
                  <c:v>50.299757649197211</c:v>
                </c:pt>
                <c:pt idx="27">
                  <c:v>49.869804142595463</c:v>
                </c:pt>
                <c:pt idx="28">
                  <c:v>49.596666666666664</c:v>
                </c:pt>
                <c:pt idx="29">
                  <c:v>49.909215955983491</c:v>
                </c:pt>
                <c:pt idx="30">
                  <c:v>49.948833819241983</c:v>
                </c:pt>
                <c:pt idx="31">
                  <c:v>50.090710223129648</c:v>
                </c:pt>
                <c:pt idx="32">
                  <c:v>49.810892018779342</c:v>
                </c:pt>
                <c:pt idx="33">
                  <c:v>49.896361355081552</c:v>
                </c:pt>
                <c:pt idx="34">
                  <c:v>49.942968243681143</c:v>
                </c:pt>
                <c:pt idx="35">
                  <c:v>49.999066002490657</c:v>
                </c:pt>
                <c:pt idx="36">
                  <c:v>50.315513915679247</c:v>
                </c:pt>
                <c:pt idx="37">
                  <c:v>50.308823529411768</c:v>
                </c:pt>
                <c:pt idx="38">
                  <c:v>50.262649619151254</c:v>
                </c:pt>
                <c:pt idx="39">
                  <c:v>49.727595249113065</c:v>
                </c:pt>
                <c:pt idx="40">
                  <c:v>49.627201145311382</c:v>
                </c:pt>
                <c:pt idx="41">
                  <c:v>50.070479804825155</c:v>
                </c:pt>
                <c:pt idx="42">
                  <c:v>50.042286007175804</c:v>
                </c:pt>
                <c:pt idx="43">
                  <c:v>50.363931446377563</c:v>
                </c:pt>
                <c:pt idx="44">
                  <c:v>50.140192926045017</c:v>
                </c:pt>
                <c:pt idx="45">
                  <c:v>49.992830589484868</c:v>
                </c:pt>
                <c:pt idx="46">
                  <c:v>49.965393630221975</c:v>
                </c:pt>
                <c:pt idx="47">
                  <c:v>49.992339121552604</c:v>
                </c:pt>
                <c:pt idx="48">
                  <c:v>50.329288172432527</c:v>
                </c:pt>
                <c:pt idx="49">
                  <c:v>50.013052056457731</c:v>
                </c:pt>
                <c:pt idx="50">
                  <c:v>49.769367399918004</c:v>
                </c:pt>
                <c:pt idx="51">
                  <c:v>49.673971549404072</c:v>
                </c:pt>
                <c:pt idx="52">
                  <c:v>49.8</c:v>
                </c:pt>
                <c:pt idx="53">
                  <c:v>49.911412046833121</c:v>
                </c:pt>
                <c:pt idx="54">
                  <c:v>49.785537700865262</c:v>
                </c:pt>
                <c:pt idx="55">
                  <c:v>50.157463291126049</c:v>
                </c:pt>
                <c:pt idx="56">
                  <c:v>50.126874746655858</c:v>
                </c:pt>
                <c:pt idx="57">
                  <c:v>50.197317236753854</c:v>
                </c:pt>
                <c:pt idx="58">
                  <c:v>49.8</c:v>
                </c:pt>
                <c:pt idx="59">
                  <c:v>49.900982943047097</c:v>
                </c:pt>
                <c:pt idx="60">
                  <c:v>49.789122408406698</c:v>
                </c:pt>
              </c:numCache>
            </c:numRef>
          </c:val>
          <c:smooth val="0"/>
          <c:extLst>
            <c:ext xmlns:c16="http://schemas.microsoft.com/office/drawing/2014/chart" uri="{C3380CC4-5D6E-409C-BE32-E72D297353CC}">
              <c16:uniqueId val="{00000001-3B00-430A-B621-7B46D3CF47C4}"/>
            </c:ext>
          </c:extLst>
        </c:ser>
        <c:dLbls>
          <c:showLegendKey val="0"/>
          <c:showVal val="0"/>
          <c:showCatName val="0"/>
          <c:showSerName val="0"/>
          <c:showPercent val="0"/>
          <c:showBubbleSize val="0"/>
        </c:dLbls>
        <c:smooth val="0"/>
        <c:axId val="1386751647"/>
        <c:axId val="1386753311"/>
      </c:lineChart>
      <c:catAx>
        <c:axId val="138675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3311"/>
        <c:crosses val="autoZero"/>
        <c:auto val="1"/>
        <c:lblAlgn val="ctr"/>
        <c:lblOffset val="100"/>
        <c:noMultiLvlLbl val="0"/>
      </c:catAx>
      <c:valAx>
        <c:axId val="1386753311"/>
        <c:scaling>
          <c:orientation val="minMax"/>
          <c:max val="50.4"/>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1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Wholesale &amp; Retail Trade</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manualLayout>
          <c:layoutTarget val="inner"/>
          <c:xMode val="edge"/>
          <c:yMode val="edge"/>
          <c:x val="8.6588963611680309E-2"/>
          <c:y val="0.15694117647058822"/>
          <c:w val="0.88353950109618062"/>
          <c:h val="0.628384251968503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A0EA-431B-848F-3E32FC1394E3}"/>
            </c:ext>
          </c:extLst>
        </c:ser>
        <c:ser>
          <c:idx val="1"/>
          <c:order val="1"/>
          <c:tx>
            <c:strRef>
              <c:f>'5.2 '!$G$7</c:f>
              <c:strCache>
                <c:ptCount val="1"/>
                <c:pt idx="0">
                  <c:v>Wholesale &amp; Retail Trade</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'!$G$8:$G$68</c:f>
              <c:numCache>
                <c:formatCode>0.0</c:formatCode>
                <c:ptCount val="61"/>
                <c:pt idx="0">
                  <c:v>50.08823993685872</c:v>
                </c:pt>
                <c:pt idx="1">
                  <c:v>49.883275261324044</c:v>
                </c:pt>
                <c:pt idx="2">
                  <c:v>49.867778541953236</c:v>
                </c:pt>
                <c:pt idx="3">
                  <c:v>50.016014373877042</c:v>
                </c:pt>
                <c:pt idx="4">
                  <c:v>50.436471663619741</c:v>
                </c:pt>
                <c:pt idx="5">
                  <c:v>50.049518569463551</c:v>
                </c:pt>
                <c:pt idx="6">
                  <c:v>50.020769072588934</c:v>
                </c:pt>
                <c:pt idx="7">
                  <c:v>49.844420791200996</c:v>
                </c:pt>
                <c:pt idx="8">
                  <c:v>50.429102496016995</c:v>
                </c:pt>
                <c:pt idx="9">
                  <c:v>50.236729713239782</c:v>
                </c:pt>
                <c:pt idx="10">
                  <c:v>49.892540540540537</c:v>
                </c:pt>
                <c:pt idx="11">
                  <c:v>49.847454046059582</c:v>
                </c:pt>
                <c:pt idx="12">
                  <c:v>49.599053926206246</c:v>
                </c:pt>
                <c:pt idx="13">
                  <c:v>49.584228798148452</c:v>
                </c:pt>
                <c:pt idx="14">
                  <c:v>49.706090174966356</c:v>
                </c:pt>
                <c:pt idx="15">
                  <c:v>50.068030524435784</c:v>
                </c:pt>
                <c:pt idx="16">
                  <c:v>50.316473988439306</c:v>
                </c:pt>
                <c:pt idx="17">
                  <c:v>50.224362606232297</c:v>
                </c:pt>
                <c:pt idx="18">
                  <c:v>49.857973421926907</c:v>
                </c:pt>
                <c:pt idx="19">
                  <c:v>49.290763968072973</c:v>
                </c:pt>
                <c:pt idx="20">
                  <c:v>50.409103602345716</c:v>
                </c:pt>
                <c:pt idx="21">
                  <c:v>49.954014379868184</c:v>
                </c:pt>
                <c:pt idx="22">
                  <c:v>49.801744647105473</c:v>
                </c:pt>
                <c:pt idx="23">
                  <c:v>50.083560545308742</c:v>
                </c:pt>
                <c:pt idx="24">
                  <c:v>49.847739361702125</c:v>
                </c:pt>
                <c:pt idx="25">
                  <c:v>49.711516203703702</c:v>
                </c:pt>
                <c:pt idx="26">
                  <c:v>49.824970828471415</c:v>
                </c:pt>
                <c:pt idx="27">
                  <c:v>49.816018888485289</c:v>
                </c:pt>
                <c:pt idx="28">
                  <c:v>49.781010949452529</c:v>
                </c:pt>
                <c:pt idx="29">
                  <c:v>49.953187613843355</c:v>
                </c:pt>
                <c:pt idx="30">
                  <c:v>49.981906750173977</c:v>
                </c:pt>
                <c:pt idx="31">
                  <c:v>50.12266148958701</c:v>
                </c:pt>
                <c:pt idx="32">
                  <c:v>50.326509001058945</c:v>
                </c:pt>
                <c:pt idx="33">
                  <c:v>49.630293445791601</c:v>
                </c:pt>
                <c:pt idx="34">
                  <c:v>49.582770578572735</c:v>
                </c:pt>
                <c:pt idx="35">
                  <c:v>49.514177693761816</c:v>
                </c:pt>
                <c:pt idx="36">
                  <c:v>50.039746746394655</c:v>
                </c:pt>
                <c:pt idx="37">
                  <c:v>49.986310937281743</c:v>
                </c:pt>
                <c:pt idx="38">
                  <c:v>50.18868758285462</c:v>
                </c:pt>
                <c:pt idx="39">
                  <c:v>49.780901953624245</c:v>
                </c:pt>
                <c:pt idx="40">
                  <c:v>50.029451395572664</c:v>
                </c:pt>
                <c:pt idx="41">
                  <c:v>50.454272649328381</c:v>
                </c:pt>
                <c:pt idx="42">
                  <c:v>49.452274293590627</c:v>
                </c:pt>
                <c:pt idx="43">
                  <c:v>50.385407472786113</c:v>
                </c:pt>
                <c:pt idx="44">
                  <c:v>49.958918005071851</c:v>
                </c:pt>
                <c:pt idx="45">
                  <c:v>49.693521594684384</c:v>
                </c:pt>
                <c:pt idx="46">
                  <c:v>49.731266149870798</c:v>
                </c:pt>
                <c:pt idx="47">
                  <c:v>49.922089041095887</c:v>
                </c:pt>
                <c:pt idx="48">
                  <c:v>49.946376811594206</c:v>
                </c:pt>
                <c:pt idx="49">
                  <c:v>50.24262197834792</c:v>
                </c:pt>
                <c:pt idx="50">
                  <c:v>49.936400541271986</c:v>
                </c:pt>
                <c:pt idx="51">
                  <c:v>49.955941446613089</c:v>
                </c:pt>
                <c:pt idx="52">
                  <c:v>50</c:v>
                </c:pt>
                <c:pt idx="53">
                  <c:v>50.524248375887595</c:v>
                </c:pt>
                <c:pt idx="54">
                  <c:v>50.101689408706953</c:v>
                </c:pt>
                <c:pt idx="55">
                  <c:v>50.668725997662378</c:v>
                </c:pt>
                <c:pt idx="56">
                  <c:v>49.590639810426538</c:v>
                </c:pt>
                <c:pt idx="57">
                  <c:v>49.512455516014235</c:v>
                </c:pt>
                <c:pt idx="58">
                  <c:v>49.6</c:v>
                </c:pt>
                <c:pt idx="59">
                  <c:v>49.8367846804721</c:v>
                </c:pt>
                <c:pt idx="60">
                  <c:v>49.951159951160001</c:v>
                </c:pt>
              </c:numCache>
            </c:numRef>
          </c:val>
          <c:smooth val="0"/>
          <c:extLst>
            <c:ext xmlns:c16="http://schemas.microsoft.com/office/drawing/2014/chart" uri="{C3380CC4-5D6E-409C-BE32-E72D297353CC}">
              <c16:uniqueId val="{00000001-A0EA-431B-848F-3E32FC1394E3}"/>
            </c:ext>
          </c:extLst>
        </c:ser>
        <c:dLbls>
          <c:showLegendKey val="0"/>
          <c:showVal val="0"/>
          <c:showCatName val="0"/>
          <c:showSerName val="0"/>
          <c:showPercent val="0"/>
          <c:showBubbleSize val="0"/>
        </c:dLbls>
        <c:smooth val="0"/>
        <c:axId val="1442802543"/>
        <c:axId val="1442794223"/>
      </c:lineChart>
      <c:catAx>
        <c:axId val="144280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4223"/>
        <c:crosses val="autoZero"/>
        <c:auto val="1"/>
        <c:lblAlgn val="ctr"/>
        <c:lblOffset val="100"/>
        <c:noMultiLvlLbl val="0"/>
      </c:catAx>
      <c:valAx>
        <c:axId val="1442794223"/>
        <c:scaling>
          <c:orientation val="minMax"/>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Transport &amp; Communication</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manualLayout>
          <c:layoutTarget val="inner"/>
          <c:xMode val="edge"/>
          <c:yMode val="edge"/>
          <c:x val="7.8484055369690539E-2"/>
          <c:y val="0.14752941176470588"/>
          <c:w val="0.90887027323260006"/>
          <c:h val="0.63723715998568364"/>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3E13-45CC-8CF3-24B196ABD87C}"/>
            </c:ext>
          </c:extLst>
        </c:ser>
        <c:ser>
          <c:idx val="1"/>
          <c:order val="1"/>
          <c:tx>
            <c:strRef>
              <c:f>'5.2 '!$H$7</c:f>
              <c:strCache>
                <c:ptCount val="1"/>
                <c:pt idx="0">
                  <c:v>Transport &amp; Communication</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'!$H$8:$H$68</c:f>
              <c:numCache>
                <c:formatCode>0.0</c:formatCode>
                <c:ptCount val="61"/>
                <c:pt idx="0">
                  <c:v>50.068049254698636</c:v>
                </c:pt>
                <c:pt idx="1">
                  <c:v>50.086788813886209</c:v>
                </c:pt>
                <c:pt idx="2">
                  <c:v>49.967924021145059</c:v>
                </c:pt>
                <c:pt idx="3">
                  <c:v>49.975143136433459</c:v>
                </c:pt>
                <c:pt idx="4">
                  <c:v>49.978723404255319</c:v>
                </c:pt>
                <c:pt idx="5">
                  <c:v>50.044650911058994</c:v>
                </c:pt>
                <c:pt idx="6">
                  <c:v>49.956254050550875</c:v>
                </c:pt>
                <c:pt idx="7">
                  <c:v>50.042637047653173</c:v>
                </c:pt>
                <c:pt idx="8">
                  <c:v>50.111768802228411</c:v>
                </c:pt>
                <c:pt idx="9">
                  <c:v>49.922239502332815</c:v>
                </c:pt>
                <c:pt idx="10">
                  <c:v>50.070947144377399</c:v>
                </c:pt>
                <c:pt idx="11">
                  <c:v>50.040554592720973</c:v>
                </c:pt>
                <c:pt idx="12">
                  <c:v>50.360042735042732</c:v>
                </c:pt>
                <c:pt idx="13">
                  <c:v>49.408974358974362</c:v>
                </c:pt>
                <c:pt idx="14">
                  <c:v>49.406885758998435</c:v>
                </c:pt>
                <c:pt idx="15">
                  <c:v>50.328638497652584</c:v>
                </c:pt>
                <c:pt idx="16">
                  <c:v>50.587360594795541</c:v>
                </c:pt>
                <c:pt idx="17">
                  <c:v>49.770707070707068</c:v>
                </c:pt>
                <c:pt idx="18">
                  <c:v>50.076125946592271</c:v>
                </c:pt>
                <c:pt idx="19">
                  <c:v>49.963333333333331</c:v>
                </c:pt>
                <c:pt idx="20">
                  <c:v>50.619274459508979</c:v>
                </c:pt>
                <c:pt idx="21">
                  <c:v>50.851606805293002</c:v>
                </c:pt>
                <c:pt idx="22">
                  <c:v>50.800079491255964</c:v>
                </c:pt>
                <c:pt idx="23">
                  <c:v>50.683778966131911</c:v>
                </c:pt>
                <c:pt idx="24">
                  <c:v>50.059308072487646</c:v>
                </c:pt>
                <c:pt idx="25">
                  <c:v>50.65115532734275</c:v>
                </c:pt>
                <c:pt idx="26">
                  <c:v>49.340782122905026</c:v>
                </c:pt>
                <c:pt idx="27">
                  <c:v>50</c:v>
                </c:pt>
                <c:pt idx="28">
                  <c:v>50.412991178829188</c:v>
                </c:pt>
                <c:pt idx="29">
                  <c:v>49.354452054794521</c:v>
                </c:pt>
                <c:pt idx="30">
                  <c:v>49.241749808135076</c:v>
                </c:pt>
                <c:pt idx="31">
                  <c:v>50.659140251845422</c:v>
                </c:pt>
                <c:pt idx="32">
                  <c:v>50.207344379758176</c:v>
                </c:pt>
                <c:pt idx="33">
                  <c:v>50.068214804063864</c:v>
                </c:pt>
                <c:pt idx="34">
                  <c:v>49.838515546639918</c:v>
                </c:pt>
                <c:pt idx="35">
                  <c:v>50.660100778744848</c:v>
                </c:pt>
                <c:pt idx="36">
                  <c:v>49.382027871215762</c:v>
                </c:pt>
                <c:pt idx="37">
                  <c:v>50.109595270577536</c:v>
                </c:pt>
                <c:pt idx="38">
                  <c:v>50.214064573197703</c:v>
                </c:pt>
                <c:pt idx="39">
                  <c:v>50.066470340765669</c:v>
                </c:pt>
                <c:pt idx="40">
                  <c:v>50.803563474387531</c:v>
                </c:pt>
                <c:pt idx="41">
                  <c:v>49.380275624461667</c:v>
                </c:pt>
                <c:pt idx="42">
                  <c:v>50.679012345679013</c:v>
                </c:pt>
                <c:pt idx="43">
                  <c:v>50.696912114014253</c:v>
                </c:pt>
                <c:pt idx="44">
                  <c:v>50.00262467191601</c:v>
                </c:pt>
                <c:pt idx="45">
                  <c:v>49.352580927384075</c:v>
                </c:pt>
                <c:pt idx="46">
                  <c:v>50.016622922134736</c:v>
                </c:pt>
                <c:pt idx="47">
                  <c:v>49.951881014873138</c:v>
                </c:pt>
                <c:pt idx="48">
                  <c:v>50.701323251417769</c:v>
                </c:pt>
                <c:pt idx="49">
                  <c:v>49.854330708661415</c:v>
                </c:pt>
                <c:pt idx="50">
                  <c:v>50.692607003891048</c:v>
                </c:pt>
                <c:pt idx="51">
                  <c:v>49.964566929133859</c:v>
                </c:pt>
                <c:pt idx="52">
                  <c:v>50.7</c:v>
                </c:pt>
                <c:pt idx="53">
                  <c:v>49.318647085002226</c:v>
                </c:pt>
                <c:pt idx="54">
                  <c:v>49.219892952720784</c:v>
                </c:pt>
                <c:pt idx="55">
                  <c:v>49.432131731197153</c:v>
                </c:pt>
                <c:pt idx="56">
                  <c:v>50.435680058975301</c:v>
                </c:pt>
                <c:pt idx="57">
                  <c:v>49.595528455284551</c:v>
                </c:pt>
                <c:pt idx="58">
                  <c:v>50.8</c:v>
                </c:pt>
                <c:pt idx="59">
                  <c:v>50.458146487294499</c:v>
                </c:pt>
                <c:pt idx="60">
                  <c:v>50.7168791039011</c:v>
                </c:pt>
              </c:numCache>
            </c:numRef>
          </c:val>
          <c:smooth val="0"/>
          <c:extLst>
            <c:ext xmlns:c16="http://schemas.microsoft.com/office/drawing/2014/chart" uri="{C3380CC4-5D6E-409C-BE32-E72D297353CC}">
              <c16:uniqueId val="{00000001-3E13-45CC-8CF3-24B196ABD87C}"/>
            </c:ext>
          </c:extLst>
        </c:ser>
        <c:dLbls>
          <c:showLegendKey val="0"/>
          <c:showVal val="0"/>
          <c:showCatName val="0"/>
          <c:showSerName val="0"/>
          <c:showPercent val="0"/>
          <c:showBubbleSize val="0"/>
        </c:dLbls>
        <c:smooth val="0"/>
        <c:axId val="1386758303"/>
        <c:axId val="1386756223"/>
      </c:lineChart>
      <c:catAx>
        <c:axId val="13867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6223"/>
        <c:crosses val="autoZero"/>
        <c:auto val="1"/>
        <c:lblAlgn val="ctr"/>
        <c:lblOffset val="100"/>
        <c:noMultiLvlLbl val="0"/>
      </c:catAx>
      <c:valAx>
        <c:axId val="1386756223"/>
        <c:scaling>
          <c:orientation val="minMax"/>
          <c:max val="5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8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Agriculture, Forestry, Fisheries &amp; Livestock</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B7C6-42D6-91D8-BBEB98359535}"/>
            </c:ext>
          </c:extLst>
        </c:ser>
        <c:ser>
          <c:idx val="1"/>
          <c:order val="1"/>
          <c:tx>
            <c:strRef>
              <c:f>'5.2 '!$I$7</c:f>
              <c:strCache>
                <c:ptCount val="1"/>
                <c:pt idx="0">
                  <c:v>Agriculture, Forestry, Fisheries &amp; Livestock</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'!$I$8:$I$68</c:f>
              <c:numCache>
                <c:formatCode>0.0</c:formatCode>
                <c:ptCount val="61"/>
                <c:pt idx="0">
                  <c:v>50.014285714285712</c:v>
                </c:pt>
                <c:pt idx="1">
                  <c:v>50.052709725315516</c:v>
                </c:pt>
                <c:pt idx="2">
                  <c:v>49.969858156028366</c:v>
                </c:pt>
                <c:pt idx="3">
                  <c:v>50.045071609098571</c:v>
                </c:pt>
                <c:pt idx="4">
                  <c:v>50.239880059970012</c:v>
                </c:pt>
                <c:pt idx="5">
                  <c:v>50.442764578833696</c:v>
                </c:pt>
                <c:pt idx="6">
                  <c:v>50.487204724409452</c:v>
                </c:pt>
                <c:pt idx="7">
                  <c:v>49.977736549165122</c:v>
                </c:pt>
                <c:pt idx="8">
                  <c:v>50.382791922739244</c:v>
                </c:pt>
                <c:pt idx="9">
                  <c:v>50.512378902045214</c:v>
                </c:pt>
                <c:pt idx="10">
                  <c:v>50.344162436548224</c:v>
                </c:pt>
                <c:pt idx="11">
                  <c:v>50.466737064413941</c:v>
                </c:pt>
                <c:pt idx="12">
                  <c:v>50.372756071805703</c:v>
                </c:pt>
                <c:pt idx="13">
                  <c:v>50.021455938697315</c:v>
                </c:pt>
                <c:pt idx="14">
                  <c:v>50.052527254707634</c:v>
                </c:pt>
                <c:pt idx="15">
                  <c:v>50.075096277278561</c:v>
                </c:pt>
                <c:pt idx="16">
                  <c:v>50.609529702970299</c:v>
                </c:pt>
                <c:pt idx="17">
                  <c:v>50.013968775677895</c:v>
                </c:pt>
                <c:pt idx="18">
                  <c:v>49.772594752186592</c:v>
                </c:pt>
                <c:pt idx="19">
                  <c:v>49.967717717717719</c:v>
                </c:pt>
                <c:pt idx="20">
                  <c:v>49.919825072886297</c:v>
                </c:pt>
                <c:pt idx="21">
                  <c:v>50.283033033033036</c:v>
                </c:pt>
                <c:pt idx="22">
                  <c:v>50.026548672566371</c:v>
                </c:pt>
                <c:pt idx="23">
                  <c:v>50.115602836879432</c:v>
                </c:pt>
                <c:pt idx="24">
                  <c:v>50.099004100761569</c:v>
                </c:pt>
                <c:pt idx="25">
                  <c:v>49.960990712074306</c:v>
                </c:pt>
                <c:pt idx="26">
                  <c:v>50.324601366742598</c:v>
                </c:pt>
                <c:pt idx="27">
                  <c:v>50.002906976744185</c:v>
                </c:pt>
                <c:pt idx="28">
                  <c:v>50.134696331930243</c:v>
                </c:pt>
                <c:pt idx="29">
                  <c:v>50.189005558987027</c:v>
                </c:pt>
                <c:pt idx="30">
                  <c:v>49.942521631644006</c:v>
                </c:pt>
                <c:pt idx="31">
                  <c:v>50.193321616871707</c:v>
                </c:pt>
                <c:pt idx="32">
                  <c:v>50.110847658565504</c:v>
                </c:pt>
                <c:pt idx="33">
                  <c:v>50.029994001199761</c:v>
                </c:pt>
                <c:pt idx="34">
                  <c:v>49.967528562838247</c:v>
                </c:pt>
                <c:pt idx="35">
                  <c:v>49.896825396825399</c:v>
                </c:pt>
                <c:pt idx="36">
                  <c:v>50.001228501228503</c:v>
                </c:pt>
                <c:pt idx="37">
                  <c:v>50.145033516148693</c:v>
                </c:pt>
                <c:pt idx="38">
                  <c:v>49.970118137595556</c:v>
                </c:pt>
                <c:pt idx="39">
                  <c:v>49.902957486136785</c:v>
                </c:pt>
                <c:pt idx="40">
                  <c:v>49.890123456790121</c:v>
                </c:pt>
                <c:pt idx="41">
                  <c:v>50.379330943847073</c:v>
                </c:pt>
                <c:pt idx="42">
                  <c:v>50.096793349168649</c:v>
                </c:pt>
                <c:pt idx="43">
                  <c:v>50.215675057208237</c:v>
                </c:pt>
                <c:pt idx="44">
                  <c:v>50.259685230024211</c:v>
                </c:pt>
                <c:pt idx="45">
                  <c:v>49.973913043478262</c:v>
                </c:pt>
                <c:pt idx="46">
                  <c:v>50.134920634920633</c:v>
                </c:pt>
                <c:pt idx="47">
                  <c:v>49.838383838383841</c:v>
                </c:pt>
                <c:pt idx="48">
                  <c:v>49.793143521208599</c:v>
                </c:pt>
                <c:pt idx="49">
                  <c:v>50.306203756402958</c:v>
                </c:pt>
                <c:pt idx="50">
                  <c:v>50.024764150943398</c:v>
                </c:pt>
                <c:pt idx="51">
                  <c:v>49.972639011473966</c:v>
                </c:pt>
                <c:pt idx="52">
                  <c:v>49.7</c:v>
                </c:pt>
                <c:pt idx="53">
                  <c:v>50.308791994281627</c:v>
                </c:pt>
                <c:pt idx="54">
                  <c:v>49.86846275752773</c:v>
                </c:pt>
                <c:pt idx="55">
                  <c:v>50.239575971731448</c:v>
                </c:pt>
                <c:pt idx="56">
                  <c:v>49.890056022408963</c:v>
                </c:pt>
                <c:pt idx="57">
                  <c:v>49.949321266968326</c:v>
                </c:pt>
                <c:pt idx="58">
                  <c:v>49.9</c:v>
                </c:pt>
                <c:pt idx="59">
                  <c:v>50.119313304720997</c:v>
                </c:pt>
                <c:pt idx="60">
                  <c:v>50.069611780455197</c:v>
                </c:pt>
              </c:numCache>
            </c:numRef>
          </c:val>
          <c:smooth val="0"/>
          <c:extLst>
            <c:ext xmlns:c16="http://schemas.microsoft.com/office/drawing/2014/chart" uri="{C3380CC4-5D6E-409C-BE32-E72D297353CC}">
              <c16:uniqueId val="{00000001-B7C6-42D6-91D8-BBEB98359535}"/>
            </c:ext>
          </c:extLst>
        </c:ser>
        <c:dLbls>
          <c:showLegendKey val="0"/>
          <c:showVal val="0"/>
          <c:showCatName val="0"/>
          <c:showSerName val="0"/>
          <c:showPercent val="0"/>
          <c:showBubbleSize val="0"/>
        </c:dLbls>
        <c:smooth val="0"/>
        <c:axId val="1442795887"/>
        <c:axId val="1442799215"/>
      </c:lineChart>
      <c:catAx>
        <c:axId val="144279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9215"/>
        <c:crosses val="autoZero"/>
        <c:auto val="1"/>
        <c:lblAlgn val="ctr"/>
        <c:lblOffset val="100"/>
        <c:noMultiLvlLbl val="0"/>
      </c:catAx>
      <c:valAx>
        <c:axId val="1442799215"/>
        <c:scaling>
          <c:orientation val="minMax"/>
          <c:min val="49.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latin typeface="Heuristica" panose="02020603050705020204" pitchFamily="18" charset="0"/>
              </a:defRPr>
            </a:pPr>
            <a:r>
              <a:rPr lang="en-US" sz="1800">
                <a:solidFill>
                  <a:srgbClr val="006E59"/>
                </a:solidFill>
                <a:latin typeface="Heuristica" panose="02020603050705020204" pitchFamily="18" charset="0"/>
              </a:rPr>
              <a:t>Chart 1.2: </a:t>
            </a:r>
            <a:r>
              <a:rPr lang="en-US" sz="1800">
                <a:solidFill>
                  <a:srgbClr val="D4C029"/>
                </a:solidFill>
                <a:latin typeface="Heuristica" panose="02020603050705020204" pitchFamily="18" charset="0"/>
              </a:rPr>
              <a:t>Monetary Aggregates</a:t>
            </a:r>
          </a:p>
        </c:rich>
      </c:tx>
      <c:layout>
        <c:manualLayout>
          <c:xMode val="edge"/>
          <c:yMode val="edge"/>
          <c:x val="0.30840660863139913"/>
          <c:y val="4.0404040404040404E-3"/>
        </c:manualLayout>
      </c:layout>
      <c:overlay val="0"/>
    </c:title>
    <c:autoTitleDeleted val="0"/>
    <c:plotArea>
      <c:layout>
        <c:manualLayout>
          <c:layoutTarget val="inner"/>
          <c:xMode val="edge"/>
          <c:yMode val="edge"/>
          <c:x val="9.4928879857759718E-2"/>
          <c:y val="6.5711286089238846E-2"/>
          <c:w val="0.89206283048929735"/>
          <c:h val="0.78304986876640437"/>
        </c:manualLayout>
      </c:layout>
      <c:lineChart>
        <c:grouping val="standard"/>
        <c:varyColors val="0"/>
        <c:ser>
          <c:idx val="0"/>
          <c:order val="0"/>
          <c:tx>
            <c:v>Narrow Money</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01-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02-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03-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04-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05-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06-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07-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08-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09-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0A-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0B-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0C-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0D-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0E-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0F-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10-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11-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12-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13-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14-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15-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16-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17-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18-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19-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1A-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1B-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1C-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1D-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1E-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1F-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20-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21-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22-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23-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95-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94-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93-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91-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92-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90-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8F-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8E-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8D-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8C-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8B-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8A-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1-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2-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6-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0-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1-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2-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6-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7-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8-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1-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2-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0-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8-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7-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6-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2-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1-DE13-4953-9C89-6DBFA86D7BEA}"/>
                </c:ext>
              </c:extLst>
            </c:dLbl>
            <c:dLbl>
              <c:idx val="65"/>
              <c:layout>
                <c:manualLayout>
                  <c:x val="-1.9061583577712718E-2"/>
                  <c:y val="2.06211723534558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13-4953-9C89-6DBFA86D7BEA}"/>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'1.2'!$A$102:$B$179</c15:sqref>
                  </c15:fullRef>
                </c:ext>
              </c:extLst>
              <c:f>'1.2'!$A$114:$B$179</c:f>
              <c:multiLvlStrCache>
                <c:ptCount val="6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'1.2'!$F$102:$F$179</c15:sqref>
                  </c15:fullRef>
                </c:ext>
              </c:extLst>
              <c:f>'1.2'!$F$114:$F$179</c:f>
              <c:numCache>
                <c:formatCode>#,##0.00_);[Red]\(#,##0.00\)</c:formatCode>
                <c:ptCount val="66"/>
                <c:pt idx="0">
                  <c:v>4750.7935350820953</c:v>
                </c:pt>
                <c:pt idx="1">
                  <c:v>4794.6908795484396</c:v>
                </c:pt>
                <c:pt idx="2">
                  <c:v>5092.9426678209975</c:v>
                </c:pt>
                <c:pt idx="3">
                  <c:v>5230.3502594187376</c:v>
                </c:pt>
                <c:pt idx="4">
                  <c:v>5273.2162976808831</c:v>
                </c:pt>
                <c:pt idx="5">
                  <c:v>5199.8842088683168</c:v>
                </c:pt>
                <c:pt idx="6">
                  <c:v>5417.3590243455437</c:v>
                </c:pt>
                <c:pt idx="7">
                  <c:v>5407.3780603937457</c:v>
                </c:pt>
                <c:pt idx="8">
                  <c:v>5461.5144744528261</c:v>
                </c:pt>
                <c:pt idx="9">
                  <c:v>5457.1915038523111</c:v>
                </c:pt>
                <c:pt idx="10">
                  <c:v>5866.212869302919</c:v>
                </c:pt>
                <c:pt idx="11">
                  <c:v>5503.6534225298428</c:v>
                </c:pt>
                <c:pt idx="12">
                  <c:v>5490.5985498601649</c:v>
                </c:pt>
                <c:pt idx="13">
                  <c:v>5400.8475557315833</c:v>
                </c:pt>
                <c:pt idx="14">
                  <c:v>5468.2313436502809</c:v>
                </c:pt>
                <c:pt idx="15">
                  <c:v>5546.2514358274566</c:v>
                </c:pt>
                <c:pt idx="16">
                  <c:v>5493.7280203657865</c:v>
                </c:pt>
                <c:pt idx="17">
                  <c:v>5521.7175965626557</c:v>
                </c:pt>
                <c:pt idx="18">
                  <c:v>5484.8166930303159</c:v>
                </c:pt>
                <c:pt idx="19">
                  <c:v>5613.6488933179862</c:v>
                </c:pt>
                <c:pt idx="20">
                  <c:v>5618.8701164191816</c:v>
                </c:pt>
                <c:pt idx="21">
                  <c:v>5654.2487654846491</c:v>
                </c:pt>
                <c:pt idx="22">
                  <c:v>5943.5590914099712</c:v>
                </c:pt>
                <c:pt idx="23">
                  <c:v>5861.1596057071265</c:v>
                </c:pt>
                <c:pt idx="24">
                  <c:v>5870.9503831320071</c:v>
                </c:pt>
                <c:pt idx="25">
                  <c:v>5921.3958232516297</c:v>
                </c:pt>
                <c:pt idx="26">
                  <c:v>6131.112160553972</c:v>
                </c:pt>
                <c:pt idx="27">
                  <c:v>6037.5236000085333</c:v>
                </c:pt>
                <c:pt idx="28">
                  <c:v>6373.378357436708</c:v>
                </c:pt>
                <c:pt idx="29">
                  <c:v>5878.702050038718</c:v>
                </c:pt>
                <c:pt idx="30">
                  <c:v>6039.6226176453938</c:v>
                </c:pt>
                <c:pt idx="31">
                  <c:v>5845.4859934175511</c:v>
                </c:pt>
                <c:pt idx="32">
                  <c:v>5774.0723281618266</c:v>
                </c:pt>
                <c:pt idx="33">
                  <c:v>5747.7817758900328</c:v>
                </c:pt>
                <c:pt idx="34">
                  <c:v>5677.8803551449728</c:v>
                </c:pt>
                <c:pt idx="35">
                  <c:v>5933.6102689012896</c:v>
                </c:pt>
                <c:pt idx="36">
                  <c:v>5866.808320834416</c:v>
                </c:pt>
                <c:pt idx="37">
                  <c:v>5618.5507645690932</c:v>
                </c:pt>
                <c:pt idx="38">
                  <c:v>5773.8834399632406</c:v>
                </c:pt>
                <c:pt idx="39">
                  <c:v>5836.1016169024306</c:v>
                </c:pt>
                <c:pt idx="40">
                  <c:v>5753.4556047708284</c:v>
                </c:pt>
                <c:pt idx="41">
                  <c:v>5989.6304135751298</c:v>
                </c:pt>
                <c:pt idx="42">
                  <c:v>5705.5062554900351</c:v>
                </c:pt>
                <c:pt idx="43">
                  <c:v>5707.7358684914434</c:v>
                </c:pt>
                <c:pt idx="44">
                  <c:v>5956.5496050147867</c:v>
                </c:pt>
                <c:pt idx="45">
                  <c:v>5754.3795818064327</c:v>
                </c:pt>
                <c:pt idx="46">
                  <c:v>5947.3569005754243</c:v>
                </c:pt>
                <c:pt idx="47">
                  <c:v>5972.2668459666875</c:v>
                </c:pt>
                <c:pt idx="48">
                  <c:v>6115.0602039505693</c:v>
                </c:pt>
                <c:pt idx="49">
                  <c:v>5970.6446162566581</c:v>
                </c:pt>
                <c:pt idx="50">
                  <c:v>6207.0331417720827</c:v>
                </c:pt>
                <c:pt idx="51">
                  <c:v>5967.5607522547616</c:v>
                </c:pt>
                <c:pt idx="52">
                  <c:v>5689.4932720514225</c:v>
                </c:pt>
                <c:pt idx="53">
                  <c:v>5548.1629181536282</c:v>
                </c:pt>
                <c:pt idx="54">
                  <c:v>5600.0232601164862</c:v>
                </c:pt>
                <c:pt idx="55">
                  <c:v>5552.2988071389045</c:v>
                </c:pt>
                <c:pt idx="56">
                  <c:v>5605.9688124423474</c:v>
                </c:pt>
                <c:pt idx="57">
                  <c:v>5587.0942596156674</c:v>
                </c:pt>
                <c:pt idx="58">
                  <c:v>5617.8107983435002</c:v>
                </c:pt>
                <c:pt idx="59">
                  <c:v>5917.2520676923141</c:v>
                </c:pt>
                <c:pt idx="60">
                  <c:v>6088.2637257793804</c:v>
                </c:pt>
                <c:pt idx="61">
                  <c:v>6025.9126856484754</c:v>
                </c:pt>
                <c:pt idx="62">
                  <c:v>5961.7995978904355</c:v>
                </c:pt>
                <c:pt idx="63">
                  <c:v>5857.3409538706337</c:v>
                </c:pt>
                <c:pt idx="64">
                  <c:v>5746.0488301400155</c:v>
                </c:pt>
                <c:pt idx="65">
                  <c:v>5826.2150569330806</c:v>
                </c:pt>
              </c:numCache>
            </c:numRef>
          </c:val>
          <c:smooth val="0"/>
          <c:extLst>
            <c:ext xmlns:c15="http://schemas.microsoft.com/office/drawing/2012/chart" uri="{02D57815-91ED-43cb-92C2-25804820EDAC}">
              <c15:categoryFilterExceptions>
                <c15:categoryFilterException>
                  <c15:sqref>'1.2'!$F$102</c15:sqref>
                  <c15:dLbl>
                    <c:idx val="-1"/>
                    <c:delete val="1"/>
                    <c:extLst>
                      <c:ext uri="{CE6537A1-D6FC-4f65-9D91-7224C49458BB}"/>
                      <c:ext xmlns:c16="http://schemas.microsoft.com/office/drawing/2014/chart" uri="{C3380CC4-5D6E-409C-BE32-E72D297353CC}">
                        <c16:uniqueId val="{00000000-8CCB-4B85-A828-06D312504054}"/>
                      </c:ext>
                    </c:extLst>
                  </c15:dLbl>
                </c15:categoryFilterException>
                <c15:categoryFilterException>
                  <c15:sqref>'1.2'!$F$103</c15:sqref>
                  <c15:dLbl>
                    <c:idx val="-1"/>
                    <c:delete val="1"/>
                    <c:extLst>
                      <c:ext uri="{CE6537A1-D6FC-4f65-9D91-7224C49458BB}"/>
                      <c:ext xmlns:c16="http://schemas.microsoft.com/office/drawing/2014/chart" uri="{C3380CC4-5D6E-409C-BE32-E72D297353CC}">
                        <c16:uniqueId val="{00000001-8CCB-4B85-A828-06D312504054}"/>
                      </c:ext>
                    </c:extLst>
                  </c15:dLbl>
                </c15:categoryFilterException>
                <c15:categoryFilterException>
                  <c15:sqref>'1.2'!$F$104</c15:sqref>
                  <c15:dLbl>
                    <c:idx val="-1"/>
                    <c:delete val="1"/>
                    <c:extLst>
                      <c:ext uri="{CE6537A1-D6FC-4f65-9D91-7224C49458BB}"/>
                      <c:ext xmlns:c16="http://schemas.microsoft.com/office/drawing/2014/chart" uri="{C3380CC4-5D6E-409C-BE32-E72D297353CC}">
                        <c16:uniqueId val="{00000002-8CCB-4B85-A828-06D312504054}"/>
                      </c:ext>
                    </c:extLst>
                  </c15:dLbl>
                </c15:categoryFilterException>
                <c15:categoryFilterException>
                  <c15:sqref>'1.2'!$F$105</c15:sqref>
                  <c15:dLbl>
                    <c:idx val="-1"/>
                    <c:delete val="1"/>
                    <c:extLst>
                      <c:ext uri="{CE6537A1-D6FC-4f65-9D91-7224C49458BB}"/>
                      <c:ext xmlns:c16="http://schemas.microsoft.com/office/drawing/2014/chart" uri="{C3380CC4-5D6E-409C-BE32-E72D297353CC}">
                        <c16:uniqueId val="{00000003-8CCB-4B85-A828-06D312504054}"/>
                      </c:ext>
                    </c:extLst>
                  </c15:dLbl>
                </c15:categoryFilterException>
                <c15:categoryFilterException>
                  <c15:sqref>'1.2'!$F$106</c15:sqref>
                  <c15:dLbl>
                    <c:idx val="-1"/>
                    <c:delete val="1"/>
                    <c:extLst>
                      <c:ext uri="{CE6537A1-D6FC-4f65-9D91-7224C49458BB}"/>
                      <c:ext xmlns:c16="http://schemas.microsoft.com/office/drawing/2014/chart" uri="{C3380CC4-5D6E-409C-BE32-E72D297353CC}">
                        <c16:uniqueId val="{00000004-8CCB-4B85-A828-06D312504054}"/>
                      </c:ext>
                    </c:extLst>
                  </c15:dLbl>
                </c15:categoryFilterException>
                <c15:categoryFilterException>
                  <c15:sqref>'1.2'!$F$107</c15:sqref>
                  <c15:dLbl>
                    <c:idx val="-1"/>
                    <c:delete val="1"/>
                    <c:extLst>
                      <c:ext uri="{CE6537A1-D6FC-4f65-9D91-7224C49458BB}"/>
                      <c:ext xmlns:c16="http://schemas.microsoft.com/office/drawing/2014/chart" uri="{C3380CC4-5D6E-409C-BE32-E72D297353CC}">
                        <c16:uniqueId val="{00000005-8CCB-4B85-A828-06D312504054}"/>
                      </c:ext>
                    </c:extLst>
                  </c15:dLbl>
                </c15:categoryFilterException>
                <c15:categoryFilterException>
                  <c15:sqref>'1.2'!$F$108</c15:sqref>
                  <c15:dLbl>
                    <c:idx val="-1"/>
                    <c:delete val="1"/>
                    <c:extLst>
                      <c:ext uri="{CE6537A1-D6FC-4f65-9D91-7224C49458BB}"/>
                      <c:ext xmlns:c16="http://schemas.microsoft.com/office/drawing/2014/chart" uri="{C3380CC4-5D6E-409C-BE32-E72D297353CC}">
                        <c16:uniqueId val="{00000006-8CCB-4B85-A828-06D312504054}"/>
                      </c:ext>
                    </c:extLst>
                  </c15:dLbl>
                </c15:categoryFilterException>
                <c15:categoryFilterException>
                  <c15:sqref>'1.2'!$F$109</c15:sqref>
                  <c15:dLbl>
                    <c:idx val="-1"/>
                    <c:delete val="1"/>
                    <c:extLst>
                      <c:ext uri="{CE6537A1-D6FC-4f65-9D91-7224C49458BB}"/>
                      <c:ext xmlns:c16="http://schemas.microsoft.com/office/drawing/2014/chart" uri="{C3380CC4-5D6E-409C-BE32-E72D297353CC}">
                        <c16:uniqueId val="{00000007-8CCB-4B85-A828-06D312504054}"/>
                      </c:ext>
                    </c:extLst>
                  </c15:dLbl>
                </c15:categoryFilterException>
                <c15:categoryFilterException>
                  <c15:sqref>'1.2'!$F$110</c15:sqref>
                  <c15:dLbl>
                    <c:idx val="-1"/>
                    <c:delete val="1"/>
                    <c:extLst>
                      <c:ext uri="{CE6537A1-D6FC-4f65-9D91-7224C49458BB}"/>
                      <c:ext xmlns:c16="http://schemas.microsoft.com/office/drawing/2014/chart" uri="{C3380CC4-5D6E-409C-BE32-E72D297353CC}">
                        <c16:uniqueId val="{00000008-8CCB-4B85-A828-06D312504054}"/>
                      </c:ext>
                    </c:extLst>
                  </c15:dLbl>
                </c15:categoryFilterException>
                <c15:categoryFilterException>
                  <c15:sqref>'1.2'!$F$111</c15:sqref>
                  <c15:dLbl>
                    <c:idx val="-1"/>
                    <c:delete val="1"/>
                    <c:extLst>
                      <c:ext uri="{CE6537A1-D6FC-4f65-9D91-7224C49458BB}"/>
                      <c:ext xmlns:c16="http://schemas.microsoft.com/office/drawing/2014/chart" uri="{C3380CC4-5D6E-409C-BE32-E72D297353CC}">
                        <c16:uniqueId val="{00000009-8CCB-4B85-A828-06D312504054}"/>
                      </c:ext>
                    </c:extLst>
                  </c15:dLbl>
                </c15:categoryFilterException>
                <c15:categoryFilterException>
                  <c15:sqref>'1.2'!$F$112</c15:sqref>
                  <c15:dLbl>
                    <c:idx val="-1"/>
                    <c:delete val="1"/>
                    <c:extLst>
                      <c:ext uri="{CE6537A1-D6FC-4f65-9D91-7224C49458BB}"/>
                      <c:ext xmlns:c16="http://schemas.microsoft.com/office/drawing/2014/chart" uri="{C3380CC4-5D6E-409C-BE32-E72D297353CC}">
                        <c16:uniqueId val="{0000000A-8CCB-4B85-A828-06D312504054}"/>
                      </c:ext>
                    </c:extLst>
                  </c15:dLbl>
                </c15:categoryFilterException>
                <c15:categoryFilterException>
                  <c15:sqref>'1.2'!$F$113</c15:sqref>
                  <c15:dLbl>
                    <c:idx val="-1"/>
                    <c:delete val="1"/>
                    <c:extLst>
                      <c:ext uri="{CE6537A1-D6FC-4f65-9D91-7224C49458BB}"/>
                      <c:ext xmlns:c16="http://schemas.microsoft.com/office/drawing/2014/chart" uri="{C3380CC4-5D6E-409C-BE32-E72D297353CC}">
                        <c16:uniqueId val="{0000000B-8CCB-4B85-A828-06D312504054}"/>
                      </c:ext>
                    </c:extLst>
                  </c15:dLbl>
                </c15:categoryFilterException>
              </c15:categoryFilterExceptions>
            </c:ext>
            <c:ext xmlns:c16="http://schemas.microsoft.com/office/drawing/2014/chart" uri="{C3380CC4-5D6E-409C-BE32-E72D297353CC}">
              <c16:uniqueId val="{00000001-1DEA-4E31-8FF0-AAEE9D765F0D}"/>
            </c:ext>
          </c:extLst>
        </c:ser>
        <c:ser>
          <c:idx val="1"/>
          <c:order val="1"/>
          <c:tx>
            <c:v>Quasi Money</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4-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25-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26-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27-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28-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29-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2A-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2B-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2C-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2D-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2E-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2F-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30-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31-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32-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33-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34-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35-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36-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37-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38-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39-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3A-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3B-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3C-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3D-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3E-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3F-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40-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41-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42-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43-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44-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45-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46-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47-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57-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56-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55-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54-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53-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51-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50-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52-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4F-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4E-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4D-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4B-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3-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4-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5-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5-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4-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3-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3-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5-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4-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5-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4-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3-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3-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5-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4-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4-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3-DE13-4953-9C89-6DBFA86D7BEA}"/>
                </c:ext>
              </c:extLst>
            </c:dLbl>
            <c:dLbl>
              <c:idx val="65"/>
              <c:layout>
                <c:manualLayout>
                  <c:x val="-2.1994134897360705E-2"/>
                  <c:y val="2.46615763938598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E13-4953-9C89-6DBFA86D7BEA}"/>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'1.2'!$A$102:$B$179</c15:sqref>
                  </c15:fullRef>
                </c:ext>
              </c:extLst>
              <c:f>'1.2'!$A$114:$B$179</c:f>
              <c:multiLvlStrCache>
                <c:ptCount val="6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'1.2'!$G$102:$G$179</c15:sqref>
                  </c15:fullRef>
                </c:ext>
              </c:extLst>
              <c:f>'1.2'!$G$114:$G$179</c:f>
              <c:numCache>
                <c:formatCode>#,##0.00_);[Red]\(#,##0.00\)</c:formatCode>
                <c:ptCount val="66"/>
                <c:pt idx="0">
                  <c:v>10337.087503742277</c:v>
                </c:pt>
                <c:pt idx="1">
                  <c:v>10243.180074434258</c:v>
                </c:pt>
                <c:pt idx="2">
                  <c:v>10128.96355573893</c:v>
                </c:pt>
                <c:pt idx="3">
                  <c:v>10150.650821698808</c:v>
                </c:pt>
                <c:pt idx="4">
                  <c:v>11534.148161016738</c:v>
                </c:pt>
                <c:pt idx="5">
                  <c:v>9548.4098258722879</c:v>
                </c:pt>
                <c:pt idx="6">
                  <c:v>9617.1610283342852</c:v>
                </c:pt>
                <c:pt idx="7">
                  <c:v>9716.645081715742</c:v>
                </c:pt>
                <c:pt idx="8">
                  <c:v>9747.1807911504748</c:v>
                </c:pt>
                <c:pt idx="9">
                  <c:v>10188.449795845911</c:v>
                </c:pt>
                <c:pt idx="10">
                  <c:v>9686.5763792248672</c:v>
                </c:pt>
                <c:pt idx="11">
                  <c:v>9996.5222901225352</c:v>
                </c:pt>
                <c:pt idx="12">
                  <c:v>10005.907891065881</c:v>
                </c:pt>
                <c:pt idx="13">
                  <c:v>10045.655659587872</c:v>
                </c:pt>
                <c:pt idx="14">
                  <c:v>10298.359036692249</c:v>
                </c:pt>
                <c:pt idx="15">
                  <c:v>10509.499279944153</c:v>
                </c:pt>
                <c:pt idx="16">
                  <c:v>10539.65635500403</c:v>
                </c:pt>
                <c:pt idx="17">
                  <c:v>10459.523594060796</c:v>
                </c:pt>
                <c:pt idx="18">
                  <c:v>10446.313795554015</c:v>
                </c:pt>
                <c:pt idx="19">
                  <c:v>10356.3985453147</c:v>
                </c:pt>
                <c:pt idx="20">
                  <c:v>10290.926852202976</c:v>
                </c:pt>
                <c:pt idx="21">
                  <c:v>9977.1023363021905</c:v>
                </c:pt>
                <c:pt idx="22">
                  <c:v>9979.2070551721044</c:v>
                </c:pt>
                <c:pt idx="23">
                  <c:v>10058.388209957551</c:v>
                </c:pt>
                <c:pt idx="24">
                  <c:v>10128.904279594539</c:v>
                </c:pt>
                <c:pt idx="25">
                  <c:v>10131.40977750562</c:v>
                </c:pt>
                <c:pt idx="26">
                  <c:v>10062.266285289639</c:v>
                </c:pt>
                <c:pt idx="27">
                  <c:v>10089.717899416808</c:v>
                </c:pt>
                <c:pt idx="28">
                  <c:v>10252.846360706533</c:v>
                </c:pt>
                <c:pt idx="29">
                  <c:v>10187.36514504367</c:v>
                </c:pt>
                <c:pt idx="30">
                  <c:v>10447.957248647193</c:v>
                </c:pt>
                <c:pt idx="31">
                  <c:v>10411.789408829361</c:v>
                </c:pt>
                <c:pt idx="32">
                  <c:v>10693.533172220759</c:v>
                </c:pt>
                <c:pt idx="33">
                  <c:v>10317.101965261802</c:v>
                </c:pt>
                <c:pt idx="34">
                  <c:v>10180.388367971998</c:v>
                </c:pt>
                <c:pt idx="35">
                  <c:v>10185.171436569288</c:v>
                </c:pt>
                <c:pt idx="36">
                  <c:v>10197.04679602021</c:v>
                </c:pt>
                <c:pt idx="37">
                  <c:v>10495.644213456011</c:v>
                </c:pt>
                <c:pt idx="38">
                  <c:v>10188.859909562827</c:v>
                </c:pt>
                <c:pt idx="39">
                  <c:v>10085.163466251885</c:v>
                </c:pt>
                <c:pt idx="40">
                  <c:v>10255.186844397987</c:v>
                </c:pt>
                <c:pt idx="41">
                  <c:v>10336.244510859848</c:v>
                </c:pt>
                <c:pt idx="42">
                  <c:v>10500.888249397212</c:v>
                </c:pt>
                <c:pt idx="43">
                  <c:v>10673.66274047578</c:v>
                </c:pt>
                <c:pt idx="44">
                  <c:v>10314.295401529804</c:v>
                </c:pt>
                <c:pt idx="45">
                  <c:v>10717.906759671674</c:v>
                </c:pt>
                <c:pt idx="46">
                  <c:v>10547.492703494447</c:v>
                </c:pt>
                <c:pt idx="47">
                  <c:v>10580.003459967984</c:v>
                </c:pt>
                <c:pt idx="48">
                  <c:v>10725.747919241301</c:v>
                </c:pt>
                <c:pt idx="49">
                  <c:v>10788.373783737043</c:v>
                </c:pt>
                <c:pt idx="50">
                  <c:v>10773.46909293854</c:v>
                </c:pt>
                <c:pt idx="51">
                  <c:v>10811.491044334965</c:v>
                </c:pt>
                <c:pt idx="52">
                  <c:v>11016.451321681019</c:v>
                </c:pt>
                <c:pt idx="53">
                  <c:v>11030.37810872378</c:v>
                </c:pt>
                <c:pt idx="54">
                  <c:v>11198.565965642936</c:v>
                </c:pt>
                <c:pt idx="55">
                  <c:v>10934.670193229183</c:v>
                </c:pt>
                <c:pt idx="56">
                  <c:v>10994.448912102482</c:v>
                </c:pt>
                <c:pt idx="57">
                  <c:v>11137.835906102424</c:v>
                </c:pt>
                <c:pt idx="58">
                  <c:v>11052.491101657717</c:v>
                </c:pt>
                <c:pt idx="59">
                  <c:v>11236.362121484188</c:v>
                </c:pt>
                <c:pt idx="60">
                  <c:v>11045.806735859616</c:v>
                </c:pt>
                <c:pt idx="61">
                  <c:v>11299.00302078946</c:v>
                </c:pt>
                <c:pt idx="62">
                  <c:v>11249.141647748349</c:v>
                </c:pt>
                <c:pt idx="63">
                  <c:v>11165.368457345216</c:v>
                </c:pt>
                <c:pt idx="64">
                  <c:v>11409.773848316905</c:v>
                </c:pt>
                <c:pt idx="65">
                  <c:v>11137.175136527598</c:v>
                </c:pt>
              </c:numCache>
            </c:numRef>
          </c:val>
          <c:smooth val="0"/>
          <c:extLst>
            <c:ext xmlns:c15="http://schemas.microsoft.com/office/drawing/2012/chart" uri="{02D57815-91ED-43cb-92C2-25804820EDAC}">
              <c15:categoryFilterExceptions>
                <c15:categoryFilterException>
                  <c15:sqref>'1.2'!$G$102</c15:sqref>
                  <c15:dLbl>
                    <c:idx val="-1"/>
                    <c:delete val="1"/>
                    <c:extLst>
                      <c:ext uri="{CE6537A1-D6FC-4f65-9D91-7224C49458BB}"/>
                      <c:ext xmlns:c16="http://schemas.microsoft.com/office/drawing/2014/chart" uri="{C3380CC4-5D6E-409C-BE32-E72D297353CC}">
                        <c16:uniqueId val="{0000000C-8CCB-4B85-A828-06D312504054}"/>
                      </c:ext>
                    </c:extLst>
                  </c15:dLbl>
                </c15:categoryFilterException>
                <c15:categoryFilterException>
                  <c15:sqref>'1.2'!$G$103</c15:sqref>
                  <c15:dLbl>
                    <c:idx val="-1"/>
                    <c:delete val="1"/>
                    <c:extLst>
                      <c:ext uri="{CE6537A1-D6FC-4f65-9D91-7224C49458BB}"/>
                      <c:ext xmlns:c16="http://schemas.microsoft.com/office/drawing/2014/chart" uri="{C3380CC4-5D6E-409C-BE32-E72D297353CC}">
                        <c16:uniqueId val="{0000000D-8CCB-4B85-A828-06D312504054}"/>
                      </c:ext>
                    </c:extLst>
                  </c15:dLbl>
                </c15:categoryFilterException>
                <c15:categoryFilterException>
                  <c15:sqref>'1.2'!$G$104</c15:sqref>
                  <c15:dLbl>
                    <c:idx val="-1"/>
                    <c:delete val="1"/>
                    <c:extLst>
                      <c:ext uri="{CE6537A1-D6FC-4f65-9D91-7224C49458BB}"/>
                      <c:ext xmlns:c16="http://schemas.microsoft.com/office/drawing/2014/chart" uri="{C3380CC4-5D6E-409C-BE32-E72D297353CC}">
                        <c16:uniqueId val="{0000000E-8CCB-4B85-A828-06D312504054}"/>
                      </c:ext>
                    </c:extLst>
                  </c15:dLbl>
                </c15:categoryFilterException>
                <c15:categoryFilterException>
                  <c15:sqref>'1.2'!$G$105</c15:sqref>
                  <c15:dLbl>
                    <c:idx val="-1"/>
                    <c:delete val="1"/>
                    <c:extLst>
                      <c:ext uri="{CE6537A1-D6FC-4f65-9D91-7224C49458BB}"/>
                      <c:ext xmlns:c16="http://schemas.microsoft.com/office/drawing/2014/chart" uri="{C3380CC4-5D6E-409C-BE32-E72D297353CC}">
                        <c16:uniqueId val="{0000000F-8CCB-4B85-A828-06D312504054}"/>
                      </c:ext>
                    </c:extLst>
                  </c15:dLbl>
                </c15:categoryFilterException>
                <c15:categoryFilterException>
                  <c15:sqref>'1.2'!$G$106</c15:sqref>
                  <c15:dLbl>
                    <c:idx val="-1"/>
                    <c:delete val="1"/>
                    <c:extLst>
                      <c:ext uri="{CE6537A1-D6FC-4f65-9D91-7224C49458BB}"/>
                      <c:ext xmlns:c16="http://schemas.microsoft.com/office/drawing/2014/chart" uri="{C3380CC4-5D6E-409C-BE32-E72D297353CC}">
                        <c16:uniqueId val="{00000010-8CCB-4B85-A828-06D312504054}"/>
                      </c:ext>
                    </c:extLst>
                  </c15:dLbl>
                </c15:categoryFilterException>
                <c15:categoryFilterException>
                  <c15:sqref>'1.2'!$G$107</c15:sqref>
                  <c15:dLbl>
                    <c:idx val="-1"/>
                    <c:delete val="1"/>
                    <c:extLst>
                      <c:ext uri="{CE6537A1-D6FC-4f65-9D91-7224C49458BB}"/>
                      <c:ext xmlns:c16="http://schemas.microsoft.com/office/drawing/2014/chart" uri="{C3380CC4-5D6E-409C-BE32-E72D297353CC}">
                        <c16:uniqueId val="{00000011-8CCB-4B85-A828-06D312504054}"/>
                      </c:ext>
                    </c:extLst>
                  </c15:dLbl>
                </c15:categoryFilterException>
                <c15:categoryFilterException>
                  <c15:sqref>'1.2'!$G$108</c15:sqref>
                  <c15:dLbl>
                    <c:idx val="-1"/>
                    <c:delete val="1"/>
                    <c:extLst>
                      <c:ext uri="{CE6537A1-D6FC-4f65-9D91-7224C49458BB}"/>
                      <c:ext xmlns:c16="http://schemas.microsoft.com/office/drawing/2014/chart" uri="{C3380CC4-5D6E-409C-BE32-E72D297353CC}">
                        <c16:uniqueId val="{00000012-8CCB-4B85-A828-06D312504054}"/>
                      </c:ext>
                    </c:extLst>
                  </c15:dLbl>
                </c15:categoryFilterException>
                <c15:categoryFilterException>
                  <c15:sqref>'1.2'!$G$109</c15:sqref>
                  <c15:dLbl>
                    <c:idx val="-1"/>
                    <c:delete val="1"/>
                    <c:extLst>
                      <c:ext uri="{CE6537A1-D6FC-4f65-9D91-7224C49458BB}"/>
                      <c:ext xmlns:c16="http://schemas.microsoft.com/office/drawing/2014/chart" uri="{C3380CC4-5D6E-409C-BE32-E72D297353CC}">
                        <c16:uniqueId val="{00000013-8CCB-4B85-A828-06D312504054}"/>
                      </c:ext>
                    </c:extLst>
                  </c15:dLbl>
                </c15:categoryFilterException>
                <c15:categoryFilterException>
                  <c15:sqref>'1.2'!$G$110</c15:sqref>
                  <c15:dLbl>
                    <c:idx val="-1"/>
                    <c:delete val="1"/>
                    <c:extLst>
                      <c:ext uri="{CE6537A1-D6FC-4f65-9D91-7224C49458BB}"/>
                      <c:ext xmlns:c16="http://schemas.microsoft.com/office/drawing/2014/chart" uri="{C3380CC4-5D6E-409C-BE32-E72D297353CC}">
                        <c16:uniqueId val="{00000014-8CCB-4B85-A828-06D312504054}"/>
                      </c:ext>
                    </c:extLst>
                  </c15:dLbl>
                </c15:categoryFilterException>
                <c15:categoryFilterException>
                  <c15:sqref>'1.2'!$G$111</c15:sqref>
                  <c15:dLbl>
                    <c:idx val="-1"/>
                    <c:delete val="1"/>
                    <c:extLst>
                      <c:ext uri="{CE6537A1-D6FC-4f65-9D91-7224C49458BB}"/>
                      <c:ext xmlns:c16="http://schemas.microsoft.com/office/drawing/2014/chart" uri="{C3380CC4-5D6E-409C-BE32-E72D297353CC}">
                        <c16:uniqueId val="{00000015-8CCB-4B85-A828-06D312504054}"/>
                      </c:ext>
                    </c:extLst>
                  </c15:dLbl>
                </c15:categoryFilterException>
                <c15:categoryFilterException>
                  <c15:sqref>'1.2'!$G$112</c15:sqref>
                  <c15:dLbl>
                    <c:idx val="-1"/>
                    <c:delete val="1"/>
                    <c:extLst>
                      <c:ext uri="{CE6537A1-D6FC-4f65-9D91-7224C49458BB}"/>
                      <c:ext xmlns:c16="http://schemas.microsoft.com/office/drawing/2014/chart" uri="{C3380CC4-5D6E-409C-BE32-E72D297353CC}">
                        <c16:uniqueId val="{00000016-8CCB-4B85-A828-06D312504054}"/>
                      </c:ext>
                    </c:extLst>
                  </c15:dLbl>
                </c15:categoryFilterException>
                <c15:categoryFilterException>
                  <c15:sqref>'1.2'!$G$113</c15:sqref>
                  <c15:dLbl>
                    <c:idx val="-1"/>
                    <c:delete val="1"/>
                    <c:extLst>
                      <c:ext uri="{CE6537A1-D6FC-4f65-9D91-7224C49458BB}"/>
                      <c:ext xmlns:c16="http://schemas.microsoft.com/office/drawing/2014/chart" uri="{C3380CC4-5D6E-409C-BE32-E72D297353CC}">
                        <c16:uniqueId val="{00000017-8CCB-4B85-A828-06D312504054}"/>
                      </c:ext>
                    </c:extLst>
                  </c15:dLbl>
                </c15:categoryFilterException>
              </c15:categoryFilterExceptions>
            </c:ext>
            <c:ext xmlns:c16="http://schemas.microsoft.com/office/drawing/2014/chart" uri="{C3380CC4-5D6E-409C-BE32-E72D297353CC}">
              <c16:uniqueId val="{00000003-1DEA-4E31-8FF0-AAEE9D765F0D}"/>
            </c:ext>
          </c:extLst>
        </c:ser>
        <c:ser>
          <c:idx val="2"/>
          <c:order val="2"/>
          <c:tx>
            <c:v>Broad Money</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8-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49-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4A-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4B-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4C-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4D-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4E-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4F-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50-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51-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52-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53-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54-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55-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56-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57-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58-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59-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5A-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5B-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5C-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5D-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5E-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5F-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60-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61-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62-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63-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64-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65-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66-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67-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68-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69-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6A-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6B-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1A-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19-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18-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17-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16-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15-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14-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13-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12-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11-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10-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0F-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7-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8-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9-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8-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7-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6-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2-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1-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0-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7-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8-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6-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0-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2-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1-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8-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7-DE13-4953-9C89-6DBFA86D7BEA}"/>
                </c:ext>
              </c:extLst>
            </c:dLbl>
            <c:dLbl>
              <c:idx val="65"/>
              <c:layout>
                <c:manualLayout>
                  <c:x val="-1.906158357771261E-2"/>
                  <c:y val="1.65807683130517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E13-4953-9C89-6DBFA86D7BEA}"/>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'1.2'!$A$102:$B$179</c15:sqref>
                  </c15:fullRef>
                </c:ext>
              </c:extLst>
              <c:f>'1.2'!$A$114:$B$179</c:f>
              <c:multiLvlStrCache>
                <c:ptCount val="6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'1.2'!$H$102:$H$179</c15:sqref>
                  </c15:fullRef>
                </c:ext>
              </c:extLst>
              <c:f>'1.2'!$H$114:$H$179</c:f>
              <c:numCache>
                <c:formatCode>#,##0.00_);[Red]\(#,##0.00\)</c:formatCode>
                <c:ptCount val="66"/>
                <c:pt idx="0">
                  <c:v>15087.881038824373</c:v>
                </c:pt>
                <c:pt idx="1">
                  <c:v>15037.870953982698</c:v>
                </c:pt>
                <c:pt idx="2">
                  <c:v>15221.906223559927</c:v>
                </c:pt>
                <c:pt idx="3">
                  <c:v>15381.001081117545</c:v>
                </c:pt>
                <c:pt idx="4">
                  <c:v>16807.364458697622</c:v>
                </c:pt>
                <c:pt idx="5">
                  <c:v>14748.294034740604</c:v>
                </c:pt>
                <c:pt idx="6">
                  <c:v>15034.520052679829</c:v>
                </c:pt>
                <c:pt idx="7">
                  <c:v>15124.023142109487</c:v>
                </c:pt>
                <c:pt idx="8">
                  <c:v>15208.695265603301</c:v>
                </c:pt>
                <c:pt idx="9">
                  <c:v>15645.641299698222</c:v>
                </c:pt>
                <c:pt idx="10">
                  <c:v>15552.789248527786</c:v>
                </c:pt>
                <c:pt idx="11">
                  <c:v>15500.175712652377</c:v>
                </c:pt>
                <c:pt idx="12">
                  <c:v>15496.506440926045</c:v>
                </c:pt>
                <c:pt idx="13">
                  <c:v>15446.503215319455</c:v>
                </c:pt>
                <c:pt idx="14">
                  <c:v>15766.59038034253</c:v>
                </c:pt>
                <c:pt idx="15">
                  <c:v>16055.75071577161</c:v>
                </c:pt>
                <c:pt idx="16">
                  <c:v>16033.384375369817</c:v>
                </c:pt>
                <c:pt idx="17">
                  <c:v>15981.241190623452</c:v>
                </c:pt>
                <c:pt idx="18">
                  <c:v>15931.130488584331</c:v>
                </c:pt>
                <c:pt idx="19">
                  <c:v>15970.047438632686</c:v>
                </c:pt>
                <c:pt idx="20">
                  <c:v>15909.796968622159</c:v>
                </c:pt>
                <c:pt idx="21">
                  <c:v>15631.35110178684</c:v>
                </c:pt>
                <c:pt idx="22">
                  <c:v>15922.766146582075</c:v>
                </c:pt>
                <c:pt idx="23">
                  <c:v>15919.547815664679</c:v>
                </c:pt>
                <c:pt idx="24">
                  <c:v>15999.854662726546</c:v>
                </c:pt>
                <c:pt idx="25">
                  <c:v>16052.805600757249</c:v>
                </c:pt>
                <c:pt idx="26">
                  <c:v>16193.378445843611</c:v>
                </c:pt>
                <c:pt idx="27">
                  <c:v>16127.241499425341</c:v>
                </c:pt>
                <c:pt idx="28">
                  <c:v>16626.224718143239</c:v>
                </c:pt>
                <c:pt idx="29">
                  <c:v>16066.067195082389</c:v>
                </c:pt>
                <c:pt idx="30">
                  <c:v>16487.579866292588</c:v>
                </c:pt>
                <c:pt idx="31">
                  <c:v>16257.275402246913</c:v>
                </c:pt>
                <c:pt idx="32">
                  <c:v>16467.605500382586</c:v>
                </c:pt>
                <c:pt idx="33">
                  <c:v>16064.883741151834</c:v>
                </c:pt>
                <c:pt idx="34">
                  <c:v>15858.268723116971</c:v>
                </c:pt>
                <c:pt idx="35">
                  <c:v>16118.781705470577</c:v>
                </c:pt>
                <c:pt idx="36">
                  <c:v>16063.855116854626</c:v>
                </c:pt>
                <c:pt idx="37">
                  <c:v>16114.194978025105</c:v>
                </c:pt>
                <c:pt idx="38">
                  <c:v>15962.743349526067</c:v>
                </c:pt>
                <c:pt idx="39">
                  <c:v>15921.265083154314</c:v>
                </c:pt>
                <c:pt idx="40">
                  <c:v>16008.642449168816</c:v>
                </c:pt>
                <c:pt idx="41">
                  <c:v>16325.874924434978</c:v>
                </c:pt>
                <c:pt idx="42">
                  <c:v>16206.394504887248</c:v>
                </c:pt>
                <c:pt idx="43">
                  <c:v>16381.398608967223</c:v>
                </c:pt>
                <c:pt idx="44">
                  <c:v>16270.84500654459</c:v>
                </c:pt>
                <c:pt idx="45">
                  <c:v>16472.286341478106</c:v>
                </c:pt>
                <c:pt idx="46">
                  <c:v>16494.84960406987</c:v>
                </c:pt>
                <c:pt idx="47">
                  <c:v>16552.270305934671</c:v>
                </c:pt>
                <c:pt idx="48">
                  <c:v>16840.80812319187</c:v>
                </c:pt>
                <c:pt idx="49">
                  <c:v>16759.0183999937</c:v>
                </c:pt>
                <c:pt idx="50">
                  <c:v>16980.502234710621</c:v>
                </c:pt>
                <c:pt idx="51">
                  <c:v>16779.051796589727</c:v>
                </c:pt>
                <c:pt idx="52">
                  <c:v>16705.944593732442</c:v>
                </c:pt>
                <c:pt idx="53">
                  <c:v>16578.541026877407</c:v>
                </c:pt>
                <c:pt idx="54">
                  <c:v>16798.589225759424</c:v>
                </c:pt>
                <c:pt idx="55">
                  <c:v>16486.969000368088</c:v>
                </c:pt>
                <c:pt idx="56">
                  <c:v>16600.41772454483</c:v>
                </c:pt>
                <c:pt idx="57">
                  <c:v>16724.930165718091</c:v>
                </c:pt>
                <c:pt idx="58">
                  <c:v>16670.301900001217</c:v>
                </c:pt>
                <c:pt idx="59">
                  <c:v>17153.6141891765</c:v>
                </c:pt>
                <c:pt idx="60">
                  <c:v>17134.070461638996</c:v>
                </c:pt>
                <c:pt idx="61">
                  <c:v>17324.915706437936</c:v>
                </c:pt>
                <c:pt idx="62">
                  <c:v>17210.941245638784</c:v>
                </c:pt>
                <c:pt idx="63">
                  <c:v>17022.709411215848</c:v>
                </c:pt>
                <c:pt idx="64">
                  <c:v>17155.82267845692</c:v>
                </c:pt>
                <c:pt idx="65">
                  <c:v>16963.390193460677</c:v>
                </c:pt>
              </c:numCache>
            </c:numRef>
          </c:val>
          <c:smooth val="0"/>
          <c:extLst>
            <c:ext xmlns:c15="http://schemas.microsoft.com/office/drawing/2012/chart" uri="{02D57815-91ED-43cb-92C2-25804820EDAC}">
              <c15:categoryFilterExceptions>
                <c15:categoryFilterException>
                  <c15:sqref>'1.2'!$H$102</c15:sqref>
                  <c15:dLbl>
                    <c:idx val="-1"/>
                    <c:delete val="1"/>
                    <c:extLst>
                      <c:ext uri="{CE6537A1-D6FC-4f65-9D91-7224C49458BB}"/>
                      <c:ext xmlns:c16="http://schemas.microsoft.com/office/drawing/2014/chart" uri="{C3380CC4-5D6E-409C-BE32-E72D297353CC}">
                        <c16:uniqueId val="{00000018-8CCB-4B85-A828-06D312504054}"/>
                      </c:ext>
                    </c:extLst>
                  </c15:dLbl>
                </c15:categoryFilterException>
                <c15:categoryFilterException>
                  <c15:sqref>'1.2'!$H$103</c15:sqref>
                  <c15:dLbl>
                    <c:idx val="-1"/>
                    <c:delete val="1"/>
                    <c:extLst>
                      <c:ext uri="{CE6537A1-D6FC-4f65-9D91-7224C49458BB}"/>
                      <c:ext xmlns:c16="http://schemas.microsoft.com/office/drawing/2014/chart" uri="{C3380CC4-5D6E-409C-BE32-E72D297353CC}">
                        <c16:uniqueId val="{00000019-8CCB-4B85-A828-06D312504054}"/>
                      </c:ext>
                    </c:extLst>
                  </c15:dLbl>
                </c15:categoryFilterException>
                <c15:categoryFilterException>
                  <c15:sqref>'1.2'!$H$104</c15:sqref>
                  <c15:dLbl>
                    <c:idx val="-1"/>
                    <c:delete val="1"/>
                    <c:extLst>
                      <c:ext uri="{CE6537A1-D6FC-4f65-9D91-7224C49458BB}"/>
                      <c:ext xmlns:c16="http://schemas.microsoft.com/office/drawing/2014/chart" uri="{C3380CC4-5D6E-409C-BE32-E72D297353CC}">
                        <c16:uniqueId val="{0000001A-8CCB-4B85-A828-06D312504054}"/>
                      </c:ext>
                    </c:extLst>
                  </c15:dLbl>
                </c15:categoryFilterException>
                <c15:categoryFilterException>
                  <c15:sqref>'1.2'!$H$105</c15:sqref>
                  <c15:dLbl>
                    <c:idx val="-1"/>
                    <c:delete val="1"/>
                    <c:extLst>
                      <c:ext uri="{CE6537A1-D6FC-4f65-9D91-7224C49458BB}"/>
                      <c:ext xmlns:c16="http://schemas.microsoft.com/office/drawing/2014/chart" uri="{C3380CC4-5D6E-409C-BE32-E72D297353CC}">
                        <c16:uniqueId val="{0000001B-8CCB-4B85-A828-06D312504054}"/>
                      </c:ext>
                    </c:extLst>
                  </c15:dLbl>
                </c15:categoryFilterException>
                <c15:categoryFilterException>
                  <c15:sqref>'1.2'!$H$106</c15:sqref>
                  <c15:dLbl>
                    <c:idx val="-1"/>
                    <c:delete val="1"/>
                    <c:extLst>
                      <c:ext uri="{CE6537A1-D6FC-4f65-9D91-7224C49458BB}"/>
                      <c:ext xmlns:c16="http://schemas.microsoft.com/office/drawing/2014/chart" uri="{C3380CC4-5D6E-409C-BE32-E72D297353CC}">
                        <c16:uniqueId val="{0000001C-8CCB-4B85-A828-06D312504054}"/>
                      </c:ext>
                    </c:extLst>
                  </c15:dLbl>
                </c15:categoryFilterException>
                <c15:categoryFilterException>
                  <c15:sqref>'1.2'!$H$107</c15:sqref>
                  <c15:dLbl>
                    <c:idx val="-1"/>
                    <c:delete val="1"/>
                    <c:extLst>
                      <c:ext uri="{CE6537A1-D6FC-4f65-9D91-7224C49458BB}"/>
                      <c:ext xmlns:c16="http://schemas.microsoft.com/office/drawing/2014/chart" uri="{C3380CC4-5D6E-409C-BE32-E72D297353CC}">
                        <c16:uniqueId val="{0000001D-8CCB-4B85-A828-06D312504054}"/>
                      </c:ext>
                    </c:extLst>
                  </c15:dLbl>
                </c15:categoryFilterException>
                <c15:categoryFilterException>
                  <c15:sqref>'1.2'!$H$108</c15:sqref>
                  <c15:dLbl>
                    <c:idx val="-1"/>
                    <c:delete val="1"/>
                    <c:extLst>
                      <c:ext uri="{CE6537A1-D6FC-4f65-9D91-7224C49458BB}"/>
                      <c:ext xmlns:c16="http://schemas.microsoft.com/office/drawing/2014/chart" uri="{C3380CC4-5D6E-409C-BE32-E72D297353CC}">
                        <c16:uniqueId val="{0000001E-8CCB-4B85-A828-06D312504054}"/>
                      </c:ext>
                    </c:extLst>
                  </c15:dLbl>
                </c15:categoryFilterException>
                <c15:categoryFilterException>
                  <c15:sqref>'1.2'!$H$109</c15:sqref>
                  <c15:dLbl>
                    <c:idx val="-1"/>
                    <c:delete val="1"/>
                    <c:extLst>
                      <c:ext uri="{CE6537A1-D6FC-4f65-9D91-7224C49458BB}"/>
                      <c:ext xmlns:c16="http://schemas.microsoft.com/office/drawing/2014/chart" uri="{C3380CC4-5D6E-409C-BE32-E72D297353CC}">
                        <c16:uniqueId val="{0000001F-8CCB-4B85-A828-06D312504054}"/>
                      </c:ext>
                    </c:extLst>
                  </c15:dLbl>
                </c15:categoryFilterException>
                <c15:categoryFilterException>
                  <c15:sqref>'1.2'!$H$110</c15:sqref>
                  <c15:dLbl>
                    <c:idx val="-1"/>
                    <c:delete val="1"/>
                    <c:extLst>
                      <c:ext uri="{CE6537A1-D6FC-4f65-9D91-7224C49458BB}"/>
                      <c:ext xmlns:c16="http://schemas.microsoft.com/office/drawing/2014/chart" uri="{C3380CC4-5D6E-409C-BE32-E72D297353CC}">
                        <c16:uniqueId val="{00000020-8CCB-4B85-A828-06D312504054}"/>
                      </c:ext>
                    </c:extLst>
                  </c15:dLbl>
                </c15:categoryFilterException>
                <c15:categoryFilterException>
                  <c15:sqref>'1.2'!$H$111</c15:sqref>
                  <c15:dLbl>
                    <c:idx val="-1"/>
                    <c:delete val="1"/>
                    <c:extLst>
                      <c:ext uri="{CE6537A1-D6FC-4f65-9D91-7224C49458BB}"/>
                      <c:ext xmlns:c16="http://schemas.microsoft.com/office/drawing/2014/chart" uri="{C3380CC4-5D6E-409C-BE32-E72D297353CC}">
                        <c16:uniqueId val="{00000021-8CCB-4B85-A828-06D312504054}"/>
                      </c:ext>
                    </c:extLst>
                  </c15:dLbl>
                </c15:categoryFilterException>
                <c15:categoryFilterException>
                  <c15:sqref>'1.2'!$H$112</c15:sqref>
                  <c15:dLbl>
                    <c:idx val="-1"/>
                    <c:delete val="1"/>
                    <c:extLst>
                      <c:ext uri="{CE6537A1-D6FC-4f65-9D91-7224C49458BB}"/>
                      <c:ext xmlns:c16="http://schemas.microsoft.com/office/drawing/2014/chart" uri="{C3380CC4-5D6E-409C-BE32-E72D297353CC}">
                        <c16:uniqueId val="{00000022-8CCB-4B85-A828-06D312504054}"/>
                      </c:ext>
                    </c:extLst>
                  </c15:dLbl>
                </c15:categoryFilterException>
                <c15:categoryFilterException>
                  <c15:sqref>'1.2'!$H$113</c15:sqref>
                  <c15:dLbl>
                    <c:idx val="-1"/>
                    <c:delete val="1"/>
                    <c:extLst>
                      <c:ext uri="{CE6537A1-D6FC-4f65-9D91-7224C49458BB}"/>
                      <c:ext xmlns:c16="http://schemas.microsoft.com/office/drawing/2014/chart" uri="{C3380CC4-5D6E-409C-BE32-E72D297353CC}">
                        <c16:uniqueId val="{00000023-8CCB-4B85-A828-06D312504054}"/>
                      </c:ext>
                    </c:extLst>
                  </c15:dLbl>
                </c15:categoryFilterException>
              </c15:categoryFilterExceptions>
            </c:ext>
            <c:ext xmlns:c16="http://schemas.microsoft.com/office/drawing/2014/chart" uri="{C3380CC4-5D6E-409C-BE32-E72D297353CC}">
              <c16:uniqueId val="{0000000A-1DEA-4E31-8FF0-AAEE9D765F0D}"/>
            </c:ext>
          </c:extLst>
        </c:ser>
        <c:dLbls>
          <c:showLegendKey val="0"/>
          <c:showVal val="0"/>
          <c:showCatName val="0"/>
          <c:showSerName val="0"/>
          <c:showPercent val="0"/>
          <c:showBubbleSize val="0"/>
        </c:dLbls>
        <c:smooth val="0"/>
        <c:axId val="486522616"/>
        <c:axId val="486522224"/>
      </c:lineChart>
      <c:catAx>
        <c:axId val="486522616"/>
        <c:scaling>
          <c:orientation val="minMax"/>
        </c:scaling>
        <c:delete val="0"/>
        <c:axPos val="b"/>
        <c:numFmt formatCode="m\/d\/yyyy" sourceLinked="0"/>
        <c:majorTickMark val="none"/>
        <c:minorTickMark val="none"/>
        <c:tickLblPos val="nextTo"/>
        <c:txPr>
          <a:bodyPr rot="-5400000" vert="horz"/>
          <a:lstStyle/>
          <a:p>
            <a:pPr>
              <a:defRPr sz="1000" b="0">
                <a:latin typeface="Geomanist" panose="02000503000000020004" pitchFamily="50" charset="0"/>
              </a:defRPr>
            </a:pPr>
            <a:endParaRPr lang="en-US"/>
          </a:p>
        </c:txPr>
        <c:crossAx val="486522224"/>
        <c:crosses val="autoZero"/>
        <c:auto val="1"/>
        <c:lblAlgn val="ctr"/>
        <c:lblOffset val="100"/>
        <c:tickLblSkip val="1"/>
        <c:tickMarkSkip val="1"/>
        <c:noMultiLvlLbl val="0"/>
      </c:catAx>
      <c:valAx>
        <c:axId val="486522224"/>
        <c:scaling>
          <c:orientation val="minMax"/>
          <c:max val="180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2.1460845503735787E-3"/>
              <c:y val="0.3412617513719875"/>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22616"/>
        <c:crosses val="autoZero"/>
        <c:crossBetween val="between"/>
      </c:valAx>
      <c:spPr>
        <a:noFill/>
        <a:ln w="25400">
          <a:noFill/>
        </a:ln>
      </c:spPr>
    </c:plotArea>
    <c:legend>
      <c:legendPos val="b"/>
      <c:layout>
        <c:manualLayout>
          <c:xMode val="edge"/>
          <c:yMode val="edge"/>
          <c:x val="0.14885907589996999"/>
          <c:y val="0.95645303427980577"/>
          <c:w val="0.72464035837162588"/>
          <c:h val="3.3617434184363325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Finance &amp; Insurance</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9739-45B4-8CAD-8F9A7EC31DEF}"/>
            </c:ext>
          </c:extLst>
        </c:ser>
        <c:ser>
          <c:idx val="1"/>
          <c:order val="1"/>
          <c:tx>
            <c:strRef>
              <c:f>'5.2 '!$J$7</c:f>
              <c:strCache>
                <c:ptCount val="1"/>
                <c:pt idx="0">
                  <c:v>Finance &amp; Insurance</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'!$J$8:$J$68</c:f>
              <c:numCache>
                <c:formatCode>0.0</c:formatCode>
                <c:ptCount val="61"/>
                <c:pt idx="0">
                  <c:v>50.007808142777471</c:v>
                </c:pt>
                <c:pt idx="1">
                  <c:v>49.908032596041906</c:v>
                </c:pt>
                <c:pt idx="2">
                  <c:v>50.525417151726813</c:v>
                </c:pt>
                <c:pt idx="3">
                  <c:v>50.444315095071786</c:v>
                </c:pt>
                <c:pt idx="4">
                  <c:v>50.103608847497092</c:v>
                </c:pt>
                <c:pt idx="5">
                  <c:v>50.350061199510407</c:v>
                </c:pt>
                <c:pt idx="6">
                  <c:v>50.10485516115871</c:v>
                </c:pt>
                <c:pt idx="7">
                  <c:v>50.62048894062864</c:v>
                </c:pt>
                <c:pt idx="8">
                  <c:v>50.147956544231761</c:v>
                </c:pt>
                <c:pt idx="9">
                  <c:v>50.440636474908203</c:v>
                </c:pt>
                <c:pt idx="10">
                  <c:v>49.954712362301102</c:v>
                </c:pt>
                <c:pt idx="11">
                  <c:v>49.935944512443903</c:v>
                </c:pt>
                <c:pt idx="12">
                  <c:v>49.984207201516107</c:v>
                </c:pt>
                <c:pt idx="13">
                  <c:v>49.305664610207515</c:v>
                </c:pt>
                <c:pt idx="14">
                  <c:v>49.263924050632909</c:v>
                </c:pt>
                <c:pt idx="15">
                  <c:v>49.93101265822785</c:v>
                </c:pt>
                <c:pt idx="16">
                  <c:v>50.390300230946885</c:v>
                </c:pt>
                <c:pt idx="17">
                  <c:v>50.464412811387902</c:v>
                </c:pt>
                <c:pt idx="18">
                  <c:v>50.028024911032027</c:v>
                </c:pt>
                <c:pt idx="19">
                  <c:v>50.646797153024913</c:v>
                </c:pt>
                <c:pt idx="20">
                  <c:v>50.238434163701065</c:v>
                </c:pt>
                <c:pt idx="21">
                  <c:v>49.989323843416372</c:v>
                </c:pt>
                <c:pt idx="22">
                  <c:v>50.104092526690394</c:v>
                </c:pt>
                <c:pt idx="23">
                  <c:v>50.654518950437321</c:v>
                </c:pt>
                <c:pt idx="24">
                  <c:v>50.479092526690394</c:v>
                </c:pt>
                <c:pt idx="25">
                  <c:v>50.45017793594306</c:v>
                </c:pt>
                <c:pt idx="26">
                  <c:v>50.508604206500955</c:v>
                </c:pt>
                <c:pt idx="27">
                  <c:v>50.801908396946565</c:v>
                </c:pt>
                <c:pt idx="28">
                  <c:v>49.974809160305341</c:v>
                </c:pt>
                <c:pt idx="29">
                  <c:v>50.192248656945509</c:v>
                </c:pt>
                <c:pt idx="30">
                  <c:v>49.942440521872605</c:v>
                </c:pt>
                <c:pt idx="31">
                  <c:v>50.110130468150423</c:v>
                </c:pt>
                <c:pt idx="32">
                  <c:v>50.044512663085186</c:v>
                </c:pt>
                <c:pt idx="33">
                  <c:v>50.022640061396778</c:v>
                </c:pt>
                <c:pt idx="34">
                  <c:v>50.789716039907901</c:v>
                </c:pt>
                <c:pt idx="35">
                  <c:v>50.717958557175749</c:v>
                </c:pt>
                <c:pt idx="36">
                  <c:v>50.359938603223334</c:v>
                </c:pt>
                <c:pt idx="37">
                  <c:v>50.321181887950885</c:v>
                </c:pt>
                <c:pt idx="38">
                  <c:v>49.983064516129033</c:v>
                </c:pt>
                <c:pt idx="39">
                  <c:v>50.447045280122794</c:v>
                </c:pt>
                <c:pt idx="40">
                  <c:v>50.265298218435319</c:v>
                </c:pt>
                <c:pt idx="41">
                  <c:v>50.110130468150423</c:v>
                </c:pt>
                <c:pt idx="42">
                  <c:v>50.017430845017053</c:v>
                </c:pt>
                <c:pt idx="43">
                  <c:v>50.10458507010231</c:v>
                </c:pt>
                <c:pt idx="44">
                  <c:v>50.220500595947556</c:v>
                </c:pt>
                <c:pt idx="45">
                  <c:v>50.017430845017053</c:v>
                </c:pt>
                <c:pt idx="46">
                  <c:v>50.026904130352406</c:v>
                </c:pt>
                <c:pt idx="47">
                  <c:v>50.081960626757734</c:v>
                </c:pt>
                <c:pt idx="48">
                  <c:v>49.878243512974052</c:v>
                </c:pt>
                <c:pt idx="49">
                  <c:v>50.422257934913617</c:v>
                </c:pt>
                <c:pt idx="50">
                  <c:v>50.314182402571312</c:v>
                </c:pt>
                <c:pt idx="51">
                  <c:v>50.100409836065573</c:v>
                </c:pt>
                <c:pt idx="52">
                  <c:v>49.9</c:v>
                </c:pt>
                <c:pt idx="53">
                  <c:v>50.080528334043457</c:v>
                </c:pt>
                <c:pt idx="54">
                  <c:v>50.047505938242281</c:v>
                </c:pt>
                <c:pt idx="55">
                  <c:v>50.108533114659203</c:v>
                </c:pt>
                <c:pt idx="56">
                  <c:v>50.243424734191379</c:v>
                </c:pt>
                <c:pt idx="57">
                  <c:v>50.127279493859319</c:v>
                </c:pt>
                <c:pt idx="58">
                  <c:v>50.1</c:v>
                </c:pt>
                <c:pt idx="59">
                  <c:v>50.101416853094698</c:v>
                </c:pt>
                <c:pt idx="60">
                  <c:v>49.994382022471903</c:v>
                </c:pt>
              </c:numCache>
            </c:numRef>
          </c:val>
          <c:smooth val="0"/>
          <c:extLst>
            <c:ext xmlns:c16="http://schemas.microsoft.com/office/drawing/2014/chart" uri="{C3380CC4-5D6E-409C-BE32-E72D297353CC}">
              <c16:uniqueId val="{00000001-9739-45B4-8CAD-8F9A7EC31DEF}"/>
            </c:ext>
          </c:extLst>
        </c:ser>
        <c:dLbls>
          <c:showLegendKey val="0"/>
          <c:showVal val="0"/>
          <c:showCatName val="0"/>
          <c:showSerName val="0"/>
          <c:showPercent val="0"/>
          <c:showBubbleSize val="0"/>
        </c:dLbls>
        <c:smooth val="0"/>
        <c:axId val="1386755391"/>
        <c:axId val="1386762463"/>
      </c:lineChart>
      <c:catAx>
        <c:axId val="138675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62463"/>
        <c:crosses val="autoZero"/>
        <c:auto val="1"/>
        <c:lblAlgn val="ctr"/>
        <c:lblOffset val="100"/>
        <c:noMultiLvlLbl val="0"/>
      </c:catAx>
      <c:valAx>
        <c:axId val="138676246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5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Real estate &amp; ownership of dwellings</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DBF1-4D84-B216-ADEE1BBA4C40}"/>
            </c:ext>
          </c:extLst>
        </c:ser>
        <c:ser>
          <c:idx val="1"/>
          <c:order val="1"/>
          <c:tx>
            <c:strRef>
              <c:f>'5.2 '!$K$7</c:f>
              <c:strCache>
                <c:ptCount val="1"/>
                <c:pt idx="0">
                  <c:v>Real estate &amp; Ownership of Dwellings</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'!$K$8:$K$68</c:f>
              <c:numCache>
                <c:formatCode>0.0</c:formatCode>
                <c:ptCount val="61"/>
                <c:pt idx="0">
                  <c:v>50.546899841017485</c:v>
                </c:pt>
                <c:pt idx="1">
                  <c:v>50.121451104100949</c:v>
                </c:pt>
                <c:pt idx="2">
                  <c:v>50</c:v>
                </c:pt>
                <c:pt idx="3">
                  <c:v>49.999032882011605</c:v>
                </c:pt>
                <c:pt idx="4">
                  <c:v>49.974110032362461</c:v>
                </c:pt>
                <c:pt idx="5">
                  <c:v>49.922953451043341</c:v>
                </c:pt>
                <c:pt idx="6">
                  <c:v>50.109780439121757</c:v>
                </c:pt>
                <c:pt idx="7">
                  <c:v>49.916532905296947</c:v>
                </c:pt>
                <c:pt idx="8">
                  <c:v>50.011551155115512</c:v>
                </c:pt>
                <c:pt idx="9">
                  <c:v>50.121794871794869</c:v>
                </c:pt>
                <c:pt idx="10">
                  <c:v>49.995106035889073</c:v>
                </c:pt>
                <c:pt idx="11">
                  <c:v>50.003189792663477</c:v>
                </c:pt>
                <c:pt idx="12">
                  <c:v>49.334431630971991</c:v>
                </c:pt>
                <c:pt idx="13">
                  <c:v>49.760330578512395</c:v>
                </c:pt>
                <c:pt idx="14">
                  <c:v>49.824156305506214</c:v>
                </c:pt>
                <c:pt idx="15">
                  <c:v>50.061302681992338</c:v>
                </c:pt>
                <c:pt idx="16">
                  <c:v>50.049828178694156</c:v>
                </c:pt>
                <c:pt idx="17">
                  <c:v>50.056910569105689</c:v>
                </c:pt>
                <c:pt idx="18">
                  <c:v>49.606796116504853</c:v>
                </c:pt>
                <c:pt idx="19">
                  <c:v>49.979661016949152</c:v>
                </c:pt>
                <c:pt idx="20">
                  <c:v>50.042955326460479</c:v>
                </c:pt>
                <c:pt idx="21">
                  <c:v>49.980099502487562</c:v>
                </c:pt>
                <c:pt idx="22">
                  <c:v>50.014373716632441</c:v>
                </c:pt>
                <c:pt idx="23">
                  <c:v>49.997907949790793</c:v>
                </c:pt>
                <c:pt idx="24">
                  <c:v>49.956666666666663</c:v>
                </c:pt>
                <c:pt idx="25">
                  <c:v>50.062176165803109</c:v>
                </c:pt>
                <c:pt idx="26">
                  <c:v>50.039832285115303</c:v>
                </c:pt>
                <c:pt idx="27">
                  <c:v>50.012389380530976</c:v>
                </c:pt>
                <c:pt idx="28">
                  <c:v>49.984320557491287</c:v>
                </c:pt>
                <c:pt idx="29">
                  <c:v>50.037671232876711</c:v>
                </c:pt>
                <c:pt idx="30">
                  <c:v>50.045138888888886</c:v>
                </c:pt>
                <c:pt idx="31">
                  <c:v>49.997950819672134</c:v>
                </c:pt>
                <c:pt idx="32">
                  <c:v>50.020522388059703</c:v>
                </c:pt>
                <c:pt idx="33">
                  <c:v>49.998171846435099</c:v>
                </c:pt>
                <c:pt idx="34">
                  <c:v>49.955017301038062</c:v>
                </c:pt>
                <c:pt idx="35">
                  <c:v>49.984819734345351</c:v>
                </c:pt>
                <c:pt idx="36">
                  <c:v>50.05190311418685</c:v>
                </c:pt>
                <c:pt idx="37">
                  <c:v>49.994727592267132</c:v>
                </c:pt>
                <c:pt idx="38">
                  <c:v>50.005660377358488</c:v>
                </c:pt>
                <c:pt idx="39">
                  <c:v>49.975791433891992</c:v>
                </c:pt>
                <c:pt idx="40">
                  <c:v>49.898686679174482</c:v>
                </c:pt>
                <c:pt idx="41">
                  <c:v>49.936507936507937</c:v>
                </c:pt>
                <c:pt idx="42">
                  <c:v>49.896440129449836</c:v>
                </c:pt>
                <c:pt idx="43">
                  <c:v>49.91935483870968</c:v>
                </c:pt>
                <c:pt idx="44">
                  <c:v>50.121794871794869</c:v>
                </c:pt>
                <c:pt idx="45">
                  <c:v>49.930817610062896</c:v>
                </c:pt>
                <c:pt idx="46">
                  <c:v>49.971698113207545</c:v>
                </c:pt>
                <c:pt idx="47">
                  <c:v>49.962025316455694</c:v>
                </c:pt>
                <c:pt idx="48">
                  <c:v>50</c:v>
                </c:pt>
                <c:pt idx="49">
                  <c:v>50.008356545961</c:v>
                </c:pt>
                <c:pt idx="50">
                  <c:v>50</c:v>
                </c:pt>
                <c:pt idx="51">
                  <c:v>49.943283582089549</c:v>
                </c:pt>
                <c:pt idx="52">
                  <c:v>50</c:v>
                </c:pt>
                <c:pt idx="53">
                  <c:v>49.873015873015873</c:v>
                </c:pt>
                <c:pt idx="54">
                  <c:v>49.99404761904762</c:v>
                </c:pt>
                <c:pt idx="55">
                  <c:v>49.993919974707097</c:v>
                </c:pt>
                <c:pt idx="56">
                  <c:v>49.95092024539877</c:v>
                </c:pt>
                <c:pt idx="57">
                  <c:v>50.710191082802545</c:v>
                </c:pt>
                <c:pt idx="58">
                  <c:v>50.4</c:v>
                </c:pt>
                <c:pt idx="59">
                  <c:v>49.885093167701903</c:v>
                </c:pt>
                <c:pt idx="60">
                  <c:v>49.946902654867301</c:v>
                </c:pt>
              </c:numCache>
            </c:numRef>
          </c:val>
          <c:smooth val="0"/>
          <c:extLst>
            <c:ext xmlns:c16="http://schemas.microsoft.com/office/drawing/2014/chart" uri="{C3380CC4-5D6E-409C-BE32-E72D297353CC}">
              <c16:uniqueId val="{00000001-DBF1-4D84-B216-ADEE1BBA4C40}"/>
            </c:ext>
          </c:extLst>
        </c:ser>
        <c:dLbls>
          <c:showLegendKey val="0"/>
          <c:showVal val="0"/>
          <c:showCatName val="0"/>
          <c:showSerName val="0"/>
          <c:showPercent val="0"/>
          <c:showBubbleSize val="0"/>
        </c:dLbls>
        <c:smooth val="0"/>
        <c:axId val="1442793391"/>
        <c:axId val="1375563487"/>
      </c:lineChart>
      <c:catAx>
        <c:axId val="1442793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3487"/>
        <c:crosses val="autoZero"/>
        <c:auto val="1"/>
        <c:lblAlgn val="ctr"/>
        <c:lblOffset val="100"/>
        <c:noMultiLvlLbl val="0"/>
      </c:catAx>
      <c:valAx>
        <c:axId val="1375563487"/>
        <c:scaling>
          <c:orientation val="minMax"/>
          <c:min val="4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Hotels &amp; Restaurants</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manualLayout>
          <c:layoutTarget val="inner"/>
          <c:xMode val="edge"/>
          <c:yMode val="edge"/>
          <c:x val="8.6635246091637808E-2"/>
          <c:y val="0.15835707502374169"/>
          <c:w val="0.88351940919463079"/>
          <c:h val="0.63247040701108947"/>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7F01-4B1E-A8F5-0D998C194F37}"/>
            </c:ext>
          </c:extLst>
        </c:ser>
        <c:ser>
          <c:idx val="1"/>
          <c:order val="1"/>
          <c:tx>
            <c:strRef>
              <c:f>'5.2 '!$L$7</c:f>
              <c:strCache>
                <c:ptCount val="1"/>
                <c:pt idx="0">
                  <c:v>Hotels &amp; Restaurants</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'!$L$8:$L$68</c:f>
              <c:numCache>
                <c:formatCode>0.0</c:formatCode>
                <c:ptCount val="61"/>
                <c:pt idx="0">
                  <c:v>49.709373986376903</c:v>
                </c:pt>
                <c:pt idx="1">
                  <c:v>50.233142353459677</c:v>
                </c:pt>
                <c:pt idx="2">
                  <c:v>50.408721804511281</c:v>
                </c:pt>
                <c:pt idx="3">
                  <c:v>50.237606336168966</c:v>
                </c:pt>
                <c:pt idx="4">
                  <c:v>50.737612612612615</c:v>
                </c:pt>
                <c:pt idx="5">
                  <c:v>49.541615289765723</c:v>
                </c:pt>
                <c:pt idx="6">
                  <c:v>49.983745583038868</c:v>
                </c:pt>
                <c:pt idx="7">
                  <c:v>50.473177441540578</c:v>
                </c:pt>
                <c:pt idx="8">
                  <c:v>49.325085060315494</c:v>
                </c:pt>
                <c:pt idx="9">
                  <c:v>50.792164179104475</c:v>
                </c:pt>
                <c:pt idx="10">
                  <c:v>49.81568958245466</c:v>
                </c:pt>
                <c:pt idx="11">
                  <c:v>50.053897180762853</c:v>
                </c:pt>
                <c:pt idx="12">
                  <c:v>49.276430976430973</c:v>
                </c:pt>
                <c:pt idx="13">
                  <c:v>49.252961082910325</c:v>
                </c:pt>
                <c:pt idx="14">
                  <c:v>49.722833562585969</c:v>
                </c:pt>
                <c:pt idx="15">
                  <c:v>50.215239154616242</c:v>
                </c:pt>
                <c:pt idx="16">
                  <c:v>50.539325842696627</c:v>
                </c:pt>
                <c:pt idx="17">
                  <c:v>50.395049504950492</c:v>
                </c:pt>
                <c:pt idx="18">
                  <c:v>49.741765480895914</c:v>
                </c:pt>
                <c:pt idx="19">
                  <c:v>49.312415836251013</c:v>
                </c:pt>
                <c:pt idx="20">
                  <c:v>50.168476574619916</c:v>
                </c:pt>
                <c:pt idx="21">
                  <c:v>50.307284768211922</c:v>
                </c:pt>
                <c:pt idx="22">
                  <c:v>50.109893758300132</c:v>
                </c:pt>
                <c:pt idx="23">
                  <c:v>50.331390728476819</c:v>
                </c:pt>
                <c:pt idx="24">
                  <c:v>50.219255359157579</c:v>
                </c:pt>
                <c:pt idx="25">
                  <c:v>50.202503209242622</c:v>
                </c:pt>
                <c:pt idx="26">
                  <c:v>49.877119752355846</c:v>
                </c:pt>
                <c:pt idx="27">
                  <c:v>50.062756268708299</c:v>
                </c:pt>
                <c:pt idx="28">
                  <c:v>50.242027371460637</c:v>
                </c:pt>
                <c:pt idx="29">
                  <c:v>50.198256242001392</c:v>
                </c:pt>
                <c:pt idx="30">
                  <c:v>49.635772383325531</c:v>
                </c:pt>
                <c:pt idx="31">
                  <c:v>50.133469033192711</c:v>
                </c:pt>
                <c:pt idx="32">
                  <c:v>50.096824774598197</c:v>
                </c:pt>
                <c:pt idx="33">
                  <c:v>50.629446358079228</c:v>
                </c:pt>
                <c:pt idx="34">
                  <c:v>50.167716674443298</c:v>
                </c:pt>
                <c:pt idx="35">
                  <c:v>50.518752320831787</c:v>
                </c:pt>
                <c:pt idx="36">
                  <c:v>49.990451214959421</c:v>
                </c:pt>
                <c:pt idx="37">
                  <c:v>49.983418367346935</c:v>
                </c:pt>
                <c:pt idx="38">
                  <c:v>49.885445193141571</c:v>
                </c:pt>
                <c:pt idx="39">
                  <c:v>49.897976099747147</c:v>
                </c:pt>
                <c:pt idx="40">
                  <c:v>50.376413076688053</c:v>
                </c:pt>
                <c:pt idx="41">
                  <c:v>50.777285525302332</c:v>
                </c:pt>
                <c:pt idx="42">
                  <c:v>49.601543209876546</c:v>
                </c:pt>
                <c:pt idx="43">
                  <c:v>49.250868055555557</c:v>
                </c:pt>
                <c:pt idx="44">
                  <c:v>50.491407799074686</c:v>
                </c:pt>
                <c:pt idx="45">
                  <c:v>49.964255075779242</c:v>
                </c:pt>
                <c:pt idx="46">
                  <c:v>49.824069218668065</c:v>
                </c:pt>
                <c:pt idx="47">
                  <c:v>50.328088847755666</c:v>
                </c:pt>
                <c:pt idx="48">
                  <c:v>49.582002534854247</c:v>
                </c:pt>
                <c:pt idx="49">
                  <c:v>50.151068158697861</c:v>
                </c:pt>
                <c:pt idx="50">
                  <c:v>50.284096628082537</c:v>
                </c:pt>
                <c:pt idx="51">
                  <c:v>50.339356295878034</c:v>
                </c:pt>
                <c:pt idx="52">
                  <c:v>50</c:v>
                </c:pt>
                <c:pt idx="53">
                  <c:v>50.210131817006982</c:v>
                </c:pt>
                <c:pt idx="54">
                  <c:v>49.957686529794692</c:v>
                </c:pt>
                <c:pt idx="55">
                  <c:v>49.329101872421454</c:v>
                </c:pt>
                <c:pt idx="56">
                  <c:v>50.440225379715827</c:v>
                </c:pt>
                <c:pt idx="57">
                  <c:v>50.253481894150418</c:v>
                </c:pt>
                <c:pt idx="58">
                  <c:v>50.2</c:v>
                </c:pt>
                <c:pt idx="59">
                  <c:v>50.257413997627502</c:v>
                </c:pt>
                <c:pt idx="60">
                  <c:v>50.295741556534502</c:v>
                </c:pt>
              </c:numCache>
            </c:numRef>
          </c:val>
          <c:smooth val="0"/>
          <c:extLst>
            <c:ext xmlns:c16="http://schemas.microsoft.com/office/drawing/2014/chart" uri="{C3380CC4-5D6E-409C-BE32-E72D297353CC}">
              <c16:uniqueId val="{00000001-7F01-4B1E-A8F5-0D998C194F37}"/>
            </c:ext>
          </c:extLst>
        </c:ser>
        <c:dLbls>
          <c:showLegendKey val="0"/>
          <c:showVal val="0"/>
          <c:showCatName val="0"/>
          <c:showSerName val="0"/>
          <c:showPercent val="0"/>
          <c:showBubbleSize val="0"/>
        </c:dLbls>
        <c:smooth val="0"/>
        <c:axId val="1442802127"/>
        <c:axId val="1442802959"/>
      </c:lineChart>
      <c:catAx>
        <c:axId val="14428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959"/>
        <c:crosses val="autoZero"/>
        <c:auto val="1"/>
        <c:lblAlgn val="ctr"/>
        <c:lblOffset val="100"/>
        <c:noMultiLvlLbl val="0"/>
      </c:catAx>
      <c:valAx>
        <c:axId val="144280295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Health &amp; Education</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manualLayout>
          <c:layoutTarget val="inner"/>
          <c:xMode val="edge"/>
          <c:yMode val="edge"/>
          <c:x val="8.6387836947314944E-2"/>
          <c:y val="0.10719424460431655"/>
          <c:w val="0.88382876743431926"/>
          <c:h val="0.674012726826412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68FA-4A3C-A151-38E84572C1CF}"/>
            </c:ext>
          </c:extLst>
        </c:ser>
        <c:ser>
          <c:idx val="1"/>
          <c:order val="1"/>
          <c:tx>
            <c:strRef>
              <c:f>'5.2 '!$M$7</c:f>
              <c:strCache>
                <c:ptCount val="1"/>
                <c:pt idx="0">
                  <c:v>Health &amp; Education</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'!$M$8:$M$68</c:f>
              <c:numCache>
                <c:formatCode>0.0</c:formatCode>
                <c:ptCount val="61"/>
                <c:pt idx="0">
                  <c:v>50.049840255591057</c:v>
                </c:pt>
                <c:pt idx="1">
                  <c:v>49.75785896346644</c:v>
                </c:pt>
                <c:pt idx="2">
                  <c:v>50.0032154340836</c:v>
                </c:pt>
                <c:pt idx="3">
                  <c:v>49.900808625336929</c:v>
                </c:pt>
                <c:pt idx="4">
                  <c:v>49.738041002277903</c:v>
                </c:pt>
                <c:pt idx="5">
                  <c:v>50.325834542815677</c:v>
                </c:pt>
                <c:pt idx="6">
                  <c:v>50.138888888888886</c:v>
                </c:pt>
                <c:pt idx="7">
                  <c:v>50.195535714285711</c:v>
                </c:pt>
                <c:pt idx="8">
                  <c:v>49.883834281072296</c:v>
                </c:pt>
                <c:pt idx="9">
                  <c:v>50.150662251655632</c:v>
                </c:pt>
                <c:pt idx="10">
                  <c:v>49.616923076923079</c:v>
                </c:pt>
                <c:pt idx="11">
                  <c:v>50.054667788057188</c:v>
                </c:pt>
                <c:pt idx="12">
                  <c:v>49.847926267281103</c:v>
                </c:pt>
                <c:pt idx="13">
                  <c:v>49.477272727272727</c:v>
                </c:pt>
                <c:pt idx="14">
                  <c:v>49.798850574712645</c:v>
                </c:pt>
                <c:pt idx="15">
                  <c:v>49.734042553191486</c:v>
                </c:pt>
                <c:pt idx="16">
                  <c:v>50.236725663716811</c:v>
                </c:pt>
                <c:pt idx="17">
                  <c:v>50.25777470628887</c:v>
                </c:pt>
                <c:pt idx="18">
                  <c:v>49.843570843570845</c:v>
                </c:pt>
                <c:pt idx="19">
                  <c:v>50.030235162374019</c:v>
                </c:pt>
                <c:pt idx="20">
                  <c:v>50.099056603773583</c:v>
                </c:pt>
                <c:pt idx="21">
                  <c:v>50.162520729684907</c:v>
                </c:pt>
                <c:pt idx="22">
                  <c:v>50.444141689373296</c:v>
                </c:pt>
                <c:pt idx="23">
                  <c:v>50.002635046113305</c:v>
                </c:pt>
                <c:pt idx="24">
                  <c:v>50</c:v>
                </c:pt>
                <c:pt idx="25">
                  <c:v>50.310267857142854</c:v>
                </c:pt>
                <c:pt idx="26">
                  <c:v>50.245080447899831</c:v>
                </c:pt>
                <c:pt idx="27">
                  <c:v>49.960108789384051</c:v>
                </c:pt>
                <c:pt idx="28">
                  <c:v>49.95737704918033</c:v>
                </c:pt>
                <c:pt idx="29">
                  <c:v>50.328208865186674</c:v>
                </c:pt>
                <c:pt idx="30">
                  <c:v>49.992214792360308</c:v>
                </c:pt>
                <c:pt idx="31">
                  <c:v>49.945367325933354</c:v>
                </c:pt>
                <c:pt idx="32">
                  <c:v>49.701051481269239</c:v>
                </c:pt>
                <c:pt idx="33">
                  <c:v>50.235806842287104</c:v>
                </c:pt>
                <c:pt idx="34">
                  <c:v>50.189939259348414</c:v>
                </c:pt>
                <c:pt idx="35">
                  <c:v>50.006484813383594</c:v>
                </c:pt>
                <c:pt idx="36">
                  <c:v>49.876659350554334</c:v>
                </c:pt>
                <c:pt idx="37">
                  <c:v>50.107134922370435</c:v>
                </c:pt>
                <c:pt idx="38">
                  <c:v>50.193453767797848</c:v>
                </c:pt>
                <c:pt idx="39">
                  <c:v>49.9</c:v>
                </c:pt>
                <c:pt idx="40">
                  <c:v>49.614588743128856</c:v>
                </c:pt>
                <c:pt idx="41">
                  <c:v>50.498334890757796</c:v>
                </c:pt>
                <c:pt idx="42">
                  <c:v>49.450538998097656</c:v>
                </c:pt>
                <c:pt idx="43">
                  <c:v>49.595352016404647</c:v>
                </c:pt>
                <c:pt idx="44">
                  <c:v>50.086659843056978</c:v>
                </c:pt>
                <c:pt idx="45">
                  <c:v>50.482919254658384</c:v>
                </c:pt>
                <c:pt idx="46">
                  <c:v>50.121212121212125</c:v>
                </c:pt>
                <c:pt idx="47">
                  <c:v>49.606451612903228</c:v>
                </c:pt>
                <c:pt idx="48">
                  <c:v>50.521025641025638</c:v>
                </c:pt>
                <c:pt idx="49">
                  <c:v>49.970870777812209</c:v>
                </c:pt>
                <c:pt idx="50">
                  <c:v>50.039154754505901</c:v>
                </c:pt>
                <c:pt idx="51">
                  <c:v>49.92434904996481</c:v>
                </c:pt>
                <c:pt idx="52">
                  <c:v>49.2</c:v>
                </c:pt>
                <c:pt idx="53">
                  <c:v>50.63293789253315</c:v>
                </c:pt>
                <c:pt idx="54">
                  <c:v>49.50876577840112</c:v>
                </c:pt>
                <c:pt idx="55">
                  <c:v>49.300853463327428</c:v>
                </c:pt>
                <c:pt idx="56">
                  <c:v>50.571544385893802</c:v>
                </c:pt>
                <c:pt idx="57">
                  <c:v>50.09663341645885</c:v>
                </c:pt>
                <c:pt idx="58">
                  <c:v>49.4</c:v>
                </c:pt>
                <c:pt idx="59">
                  <c:v>50.577971233913701</c:v>
                </c:pt>
                <c:pt idx="60">
                  <c:v>49.397695669447799</c:v>
                </c:pt>
              </c:numCache>
            </c:numRef>
          </c:val>
          <c:smooth val="0"/>
          <c:extLst>
            <c:ext xmlns:c16="http://schemas.microsoft.com/office/drawing/2014/chart" uri="{C3380CC4-5D6E-409C-BE32-E72D297353CC}">
              <c16:uniqueId val="{00000001-68FA-4A3C-A151-38E84572C1CF}"/>
            </c:ext>
          </c:extLst>
        </c:ser>
        <c:dLbls>
          <c:showLegendKey val="0"/>
          <c:showVal val="0"/>
          <c:showCatName val="0"/>
          <c:showSerName val="0"/>
          <c:showPercent val="0"/>
          <c:showBubbleSize val="0"/>
        </c:dLbls>
        <c:smooth val="0"/>
        <c:axId val="1375560159"/>
        <c:axId val="1375564319"/>
      </c:lineChart>
      <c:catAx>
        <c:axId val="1375560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4319"/>
        <c:crosses val="autoZero"/>
        <c:auto val="1"/>
        <c:lblAlgn val="ctr"/>
        <c:lblOffset val="100"/>
        <c:noMultiLvlLbl val="0"/>
      </c:catAx>
      <c:valAx>
        <c:axId val="1375564319"/>
        <c:scaling>
          <c:orientation val="minMax"/>
          <c:max val="50.8"/>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0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r>
              <a:rPr lang="en-US" sz="1000">
                <a:solidFill>
                  <a:srgbClr val="006E59"/>
                </a:solidFill>
                <a:latin typeface="Geomanist Bold" panose="02000503000000020004" pitchFamily="50" charset="0"/>
              </a:rPr>
              <a:t>Other Private Services</a:t>
            </a:r>
          </a:p>
        </c:rich>
      </c:tx>
      <c:overlay val="0"/>
      <c:spPr>
        <a:noFill/>
        <a:ln>
          <a:noFill/>
        </a:ln>
        <a:effectLst/>
      </c:spPr>
      <c:txPr>
        <a:bodyPr rot="0" spcFirstLastPara="1" vertOverflow="ellipsis" vert="horz" wrap="square" anchor="ctr" anchorCtr="1"/>
        <a:lstStyle/>
        <a:p>
          <a:pPr>
            <a:defRPr sz="1000" b="0" i="0" u="none" strike="noStrike" kern="1200" spc="0" baseline="0">
              <a:solidFill>
                <a:srgbClr val="006E59"/>
              </a:solidFill>
              <a:latin typeface="Geomanist Bold"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'!$C$8:$C$68</c:f>
              <c:numCache>
                <c:formatCode>0.0</c:formatCode>
                <c:ptCount val="6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numCache>
            </c:numRef>
          </c:val>
          <c:smooth val="0"/>
          <c:extLst>
            <c:ext xmlns:c16="http://schemas.microsoft.com/office/drawing/2014/chart" uri="{C3380CC4-5D6E-409C-BE32-E72D297353CC}">
              <c16:uniqueId val="{00000000-E570-4E1B-8F5C-6116592AFB09}"/>
            </c:ext>
          </c:extLst>
        </c:ser>
        <c:ser>
          <c:idx val="1"/>
          <c:order val="1"/>
          <c:tx>
            <c:strRef>
              <c:f>'5.2 '!$N$7</c:f>
              <c:strCache>
                <c:ptCount val="1"/>
                <c:pt idx="0">
                  <c:v>Other Private Services</c:v>
                </c:pt>
              </c:strCache>
            </c:strRef>
          </c:tx>
          <c:spPr>
            <a:ln w="28575" cap="rnd">
              <a:solidFill>
                <a:srgbClr val="D4C029"/>
              </a:solidFill>
              <a:round/>
            </a:ln>
            <a:effectLst/>
          </c:spPr>
          <c:marker>
            <c:symbol val="none"/>
          </c:marker>
          <c:cat>
            <c:multiLvlStrRef>
              <c:f>'5.2 '!$A$8:$B$68</c:f>
              <c:multiLvlStrCache>
                <c:ptCount val="61"/>
                <c:lvl>
                  <c:pt idx="0">
                    <c:v>Aug</c:v>
                  </c:pt>
                  <c:pt idx="1">
                    <c:v>Sep</c:v>
                  </c:pt>
                  <c:pt idx="2">
                    <c:v>Oct</c:v>
                  </c:pt>
                  <c:pt idx="3">
                    <c:v>Nov</c:v>
                  </c:pt>
                  <c:pt idx="4">
                    <c:v>Dec</c:v>
                  </c:pt>
                  <c:pt idx="5">
                    <c:v>Jan</c:v>
                  </c:pt>
                  <c:pt idx="6">
                    <c:v>Feb</c:v>
                  </c:pt>
                  <c:pt idx="7">
                    <c:v>Mar</c:v>
                  </c:pt>
                  <c:pt idx="8">
                    <c:v>Apr</c:v>
                  </c:pt>
                  <c:pt idx="9">
                    <c:v>May</c:v>
                  </c:pt>
                  <c:pt idx="10">
                    <c:v>Jun</c:v>
                  </c:pt>
                  <c:pt idx="11">
                    <c:v>Jul</c:v>
                  </c:pt>
                  <c:pt idx="12">
                    <c:v>Aug</c:v>
                  </c:pt>
                  <c:pt idx="13">
                    <c:v>Sep</c:v>
                  </c:pt>
                  <c:pt idx="14">
                    <c:v>Oct</c:v>
                  </c:pt>
                  <c:pt idx="15">
                    <c:v>Nov</c:v>
                  </c:pt>
                  <c:pt idx="16">
                    <c:v>Dec</c:v>
                  </c:pt>
                  <c:pt idx="17">
                    <c:v>Jan</c:v>
                  </c:pt>
                  <c:pt idx="18">
                    <c:v>Feb</c:v>
                  </c:pt>
                  <c:pt idx="19">
                    <c:v>Mar</c:v>
                  </c:pt>
                  <c:pt idx="20">
                    <c:v>Apr</c:v>
                  </c:pt>
                  <c:pt idx="21">
                    <c:v>May</c:v>
                  </c:pt>
                  <c:pt idx="22">
                    <c:v>Jun</c:v>
                  </c:pt>
                  <c:pt idx="23">
                    <c:v>Jul</c:v>
                  </c:pt>
                  <c:pt idx="24">
                    <c:v>Aug</c:v>
                  </c:pt>
                  <c:pt idx="25">
                    <c:v>Sep</c:v>
                  </c:pt>
                  <c:pt idx="26">
                    <c:v>Oct</c:v>
                  </c:pt>
                  <c:pt idx="27">
                    <c:v>Nov</c:v>
                  </c:pt>
                  <c:pt idx="28">
                    <c:v>Dec</c:v>
                  </c:pt>
                  <c:pt idx="29">
                    <c:v>Jan</c:v>
                  </c:pt>
                  <c:pt idx="30">
                    <c:v>Feb</c:v>
                  </c:pt>
                  <c:pt idx="31">
                    <c:v>Mar</c:v>
                  </c:pt>
                  <c:pt idx="32">
                    <c:v>Apr</c:v>
                  </c:pt>
                  <c:pt idx="33">
                    <c:v>May</c:v>
                  </c:pt>
                  <c:pt idx="34">
                    <c:v>Jun</c:v>
                  </c:pt>
                  <c:pt idx="35">
                    <c:v>Jul</c:v>
                  </c:pt>
                  <c:pt idx="36">
                    <c:v>Aug</c:v>
                  </c:pt>
                  <c:pt idx="37">
                    <c:v>Sep</c:v>
                  </c:pt>
                  <c:pt idx="38">
                    <c:v>Oct</c:v>
                  </c:pt>
                  <c:pt idx="39">
                    <c:v>Nov</c:v>
                  </c:pt>
                  <c:pt idx="40">
                    <c:v>Dec</c:v>
                  </c:pt>
                  <c:pt idx="41">
                    <c:v>Jan</c:v>
                  </c:pt>
                  <c:pt idx="42">
                    <c:v>Feb</c:v>
                  </c:pt>
                  <c:pt idx="43">
                    <c:v>Mar</c:v>
                  </c:pt>
                  <c:pt idx="44">
                    <c:v>Apr</c:v>
                  </c:pt>
                  <c:pt idx="45">
                    <c:v>May</c:v>
                  </c:pt>
                  <c:pt idx="46">
                    <c:v>Jun</c:v>
                  </c:pt>
                  <c:pt idx="47">
                    <c:v>Jul</c:v>
                  </c:pt>
                  <c:pt idx="48">
                    <c:v>Aug</c:v>
                  </c:pt>
                  <c:pt idx="49">
                    <c:v>Sep</c:v>
                  </c:pt>
                  <c:pt idx="50">
                    <c:v>Oct</c:v>
                  </c:pt>
                  <c:pt idx="51">
                    <c:v>Nov</c:v>
                  </c:pt>
                  <c:pt idx="52">
                    <c:v>Dec</c:v>
                  </c:pt>
                  <c:pt idx="53">
                    <c:v>Jan</c:v>
                  </c:pt>
                  <c:pt idx="54">
                    <c:v>Feb</c:v>
                  </c:pt>
                  <c:pt idx="55">
                    <c:v>Mar</c:v>
                  </c:pt>
                  <c:pt idx="56">
                    <c:v>Apr</c:v>
                  </c:pt>
                  <c:pt idx="57">
                    <c:v>May</c:v>
                  </c:pt>
                  <c:pt idx="58">
                    <c:v>Jun</c:v>
                  </c:pt>
                  <c:pt idx="59">
                    <c:v>Jul</c:v>
                  </c:pt>
                  <c:pt idx="60">
                    <c:v>Aug</c:v>
                  </c:pt>
                </c:lvl>
                <c:lvl>
                  <c:pt idx="0">
                    <c:v>2020</c:v>
                  </c:pt>
                  <c:pt idx="5">
                    <c:v>2021</c:v>
                  </c:pt>
                  <c:pt idx="17">
                    <c:v>2022</c:v>
                  </c:pt>
                  <c:pt idx="29">
                    <c:v>2023</c:v>
                  </c:pt>
                  <c:pt idx="41">
                    <c:v>2024</c:v>
                  </c:pt>
                  <c:pt idx="53">
                    <c:v>2025</c:v>
                  </c:pt>
                </c:lvl>
              </c:multiLvlStrCache>
            </c:multiLvlStrRef>
          </c:cat>
          <c:val>
            <c:numRef>
              <c:f>'5.2 '!$N$8:$N$68</c:f>
              <c:numCache>
                <c:formatCode>0.0</c:formatCode>
                <c:ptCount val="61"/>
                <c:pt idx="0">
                  <c:v>50.038456591639871</c:v>
                </c:pt>
                <c:pt idx="1">
                  <c:v>49.957741559953433</c:v>
                </c:pt>
                <c:pt idx="2">
                  <c:v>49.999455989555003</c:v>
                </c:pt>
                <c:pt idx="3">
                  <c:v>50.045480847124175</c:v>
                </c:pt>
                <c:pt idx="4">
                  <c:v>50.015584750128802</c:v>
                </c:pt>
                <c:pt idx="5">
                  <c:v>50.056853901872351</c:v>
                </c:pt>
                <c:pt idx="6">
                  <c:v>50.00662739322533</c:v>
                </c:pt>
                <c:pt idx="7">
                  <c:v>50.186087615200101</c:v>
                </c:pt>
                <c:pt idx="8">
                  <c:v>50.060102478881042</c:v>
                </c:pt>
                <c:pt idx="9">
                  <c:v>50.229486422668238</c:v>
                </c:pt>
                <c:pt idx="10">
                  <c:v>50.068042211371868</c:v>
                </c:pt>
                <c:pt idx="11">
                  <c:v>50.060076750033083</c:v>
                </c:pt>
                <c:pt idx="12">
                  <c:v>49.953127226100584</c:v>
                </c:pt>
                <c:pt idx="13">
                  <c:v>49.180101416331524</c:v>
                </c:pt>
                <c:pt idx="14">
                  <c:v>49.75750834260289</c:v>
                </c:pt>
                <c:pt idx="15">
                  <c:v>49.989364364364363</c:v>
                </c:pt>
                <c:pt idx="16">
                  <c:v>49.880662815445426</c:v>
                </c:pt>
                <c:pt idx="17">
                  <c:v>49.989434351243396</c:v>
                </c:pt>
                <c:pt idx="18">
                  <c:v>49.764314077110285</c:v>
                </c:pt>
                <c:pt idx="19">
                  <c:v>49.575616573280264</c:v>
                </c:pt>
                <c:pt idx="20">
                  <c:v>49.94203061599341</c:v>
                </c:pt>
                <c:pt idx="21">
                  <c:v>49.941623852496875</c:v>
                </c:pt>
                <c:pt idx="22">
                  <c:v>50.343111683216257</c:v>
                </c:pt>
                <c:pt idx="23">
                  <c:v>49.935037390114069</c:v>
                </c:pt>
                <c:pt idx="24">
                  <c:v>49.721495741730308</c:v>
                </c:pt>
                <c:pt idx="25">
                  <c:v>49.880061651564269</c:v>
                </c:pt>
                <c:pt idx="26">
                  <c:v>49.888802232323556</c:v>
                </c:pt>
                <c:pt idx="27">
                  <c:v>49.965794246587436</c:v>
                </c:pt>
                <c:pt idx="28">
                  <c:v>50.292393094361586</c:v>
                </c:pt>
                <c:pt idx="29">
                  <c:v>50.159844151049803</c:v>
                </c:pt>
                <c:pt idx="30">
                  <c:v>50.385620520858303</c:v>
                </c:pt>
                <c:pt idx="31">
                  <c:v>50.271920365497202</c:v>
                </c:pt>
                <c:pt idx="32">
                  <c:v>50.107137319636543</c:v>
                </c:pt>
                <c:pt idx="33">
                  <c:v>50.098005824403224</c:v>
                </c:pt>
                <c:pt idx="34">
                  <c:v>50.00102470681999</c:v>
                </c:pt>
                <c:pt idx="35">
                  <c:v>49.973345710118025</c:v>
                </c:pt>
                <c:pt idx="36">
                  <c:v>50.08801382545365</c:v>
                </c:pt>
                <c:pt idx="37">
                  <c:v>50.271176294777099</c:v>
                </c:pt>
                <c:pt idx="38">
                  <c:v>49.940970021716502</c:v>
                </c:pt>
                <c:pt idx="39">
                  <c:v>50.079914899095733</c:v>
                </c:pt>
                <c:pt idx="40">
                  <c:v>49.78677375594971</c:v>
                </c:pt>
                <c:pt idx="41">
                  <c:v>50.048948363846534</c:v>
                </c:pt>
                <c:pt idx="42">
                  <c:v>50.062794272102309</c:v>
                </c:pt>
                <c:pt idx="43">
                  <c:v>50.090395444598272</c:v>
                </c:pt>
                <c:pt idx="44">
                  <c:v>50.22977201609298</c:v>
                </c:pt>
                <c:pt idx="45">
                  <c:v>50.103444575598239</c:v>
                </c:pt>
                <c:pt idx="46">
                  <c:v>50.120390459064673</c:v>
                </c:pt>
                <c:pt idx="47">
                  <c:v>50.206188286553235</c:v>
                </c:pt>
                <c:pt idx="48">
                  <c:v>50.036494210757731</c:v>
                </c:pt>
                <c:pt idx="49">
                  <c:v>50.062713441973003</c:v>
                </c:pt>
                <c:pt idx="50">
                  <c:v>50.02244600376082</c:v>
                </c:pt>
                <c:pt idx="51">
                  <c:v>49.948095096878241</c:v>
                </c:pt>
                <c:pt idx="52">
                  <c:v>49.9</c:v>
                </c:pt>
                <c:pt idx="53">
                  <c:v>50.167618800311608</c:v>
                </c:pt>
                <c:pt idx="54">
                  <c:v>49.941184929536959</c:v>
                </c:pt>
                <c:pt idx="55">
                  <c:v>49.840994532411287</c:v>
                </c:pt>
                <c:pt idx="56">
                  <c:v>49.843868603585918</c:v>
                </c:pt>
                <c:pt idx="57">
                  <c:v>49.809976247030882</c:v>
                </c:pt>
                <c:pt idx="58">
                  <c:v>50.2</c:v>
                </c:pt>
                <c:pt idx="59">
                  <c:v>50.122993197278902</c:v>
                </c:pt>
                <c:pt idx="60">
                  <c:v>49.704759063106103</c:v>
                </c:pt>
              </c:numCache>
            </c:numRef>
          </c:val>
          <c:smooth val="0"/>
          <c:extLst>
            <c:ext xmlns:c16="http://schemas.microsoft.com/office/drawing/2014/chart" uri="{C3380CC4-5D6E-409C-BE32-E72D297353CC}">
              <c16:uniqueId val="{00000001-E570-4E1B-8F5C-6116592AFB09}"/>
            </c:ext>
          </c:extLst>
        </c:ser>
        <c:dLbls>
          <c:showLegendKey val="0"/>
          <c:showVal val="0"/>
          <c:showCatName val="0"/>
          <c:showSerName val="0"/>
          <c:showPercent val="0"/>
          <c:showBubbleSize val="0"/>
        </c:dLbls>
        <c:smooth val="0"/>
        <c:axId val="1455243983"/>
        <c:axId val="1455239407"/>
      </c:lineChart>
      <c:catAx>
        <c:axId val="145524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39407"/>
        <c:crosses val="autoZero"/>
        <c:auto val="1"/>
        <c:lblAlgn val="ctr"/>
        <c:lblOffset val="100"/>
        <c:noMultiLvlLbl val="0"/>
      </c:catAx>
      <c:valAx>
        <c:axId val="1455239407"/>
        <c:scaling>
          <c:orientation val="minMax"/>
          <c:max val="50.6"/>
          <c:min val="48.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43983"/>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Heuristica" panose="02020603050705020204" pitchFamily="18" charset="0"/>
              </a:defRPr>
            </a:pPr>
            <a:r>
              <a:rPr lang="en-US" b="1">
                <a:solidFill>
                  <a:srgbClr val="006E59"/>
                </a:solidFill>
                <a:latin typeface="Heuristica" panose="02020603050705020204" pitchFamily="18" charset="0"/>
              </a:rPr>
              <a:t>Chart 6.1: </a:t>
            </a:r>
            <a:r>
              <a:rPr lang="en-US" b="1">
                <a:solidFill>
                  <a:srgbClr val="D4C029"/>
                </a:solidFill>
                <a:latin typeface="Heuristica" panose="02020603050705020204" pitchFamily="18" charset="0"/>
              </a:rPr>
              <a:t>Interest Rates: Banking Institutions</a:t>
            </a:r>
          </a:p>
        </c:rich>
      </c:tx>
      <c:overlay val="0"/>
    </c:title>
    <c:autoTitleDeleted val="0"/>
    <c:plotArea>
      <c:layout>
        <c:manualLayout>
          <c:layoutTarget val="inner"/>
          <c:xMode val="edge"/>
          <c:yMode val="edge"/>
          <c:x val="8.3378091301637161E-2"/>
          <c:y val="0.12287823113019963"/>
          <c:w val="0.90126756891726778"/>
          <c:h val="0.68604250660469357"/>
        </c:manualLayout>
      </c:layout>
      <c:lineChart>
        <c:grouping val="standard"/>
        <c:varyColors val="0"/>
        <c:ser>
          <c:idx val="0"/>
          <c:order val="0"/>
          <c:tx>
            <c:strRef>
              <c:f>'6.1'!$C$3</c:f>
              <c:strCache>
                <c:ptCount val="1"/>
                <c:pt idx="0">
                  <c:v>Average Deposit Rate 
3 Months</c:v>
                </c:pt>
              </c:strCache>
            </c:strRef>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19-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1A-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1B-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1C-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1D-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1E-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1F-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20-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21-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22-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23-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24-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25-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26-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27-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28-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29-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2A-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2B-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2C-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2D-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2E-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2F-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30-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31-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32-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33-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34-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35-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36-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37-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38-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39-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3A-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3B-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3C-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3D-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3E-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3F-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40-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41-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42-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43-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44-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45-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0-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2-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2-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0-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0-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6-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7-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8-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5-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4-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2-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8-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7-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6-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5-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4-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6-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4-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0-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3-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6-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7-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8-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4-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7-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8-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8-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7-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6-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6-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8-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7-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8-A4C6-4B31-BDDC-A2377402BBDE}"/>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'6.1'!$A$29:$B$180</c15:sqref>
                  </c15:fullRef>
                </c:ext>
              </c:extLst>
              <c:f>'6.1'!$A$101:$B$180</c:f>
              <c:multiLvlStrCache>
                <c:ptCount val="8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'6.1'!$C$29:$C$180</c15:sqref>
                  </c15:fullRef>
                </c:ext>
              </c:extLst>
              <c:f>'6.1'!$C$101:$C$180</c:f>
              <c:numCache>
                <c:formatCode>#,##0.000</c:formatCode>
                <c:ptCount val="80"/>
                <c:pt idx="0" formatCode="0.000">
                  <c:v>0.32</c:v>
                </c:pt>
                <c:pt idx="1" formatCode="0.000">
                  <c:v>0.32800000000000001</c:v>
                </c:pt>
                <c:pt idx="2" formatCode="0.000">
                  <c:v>0.32900000000000001</c:v>
                </c:pt>
                <c:pt idx="3" formatCode="0.000">
                  <c:v>0.34399999999999997</c:v>
                </c:pt>
                <c:pt idx="4" formatCode="0.000">
                  <c:v>0.38600000000000001</c:v>
                </c:pt>
                <c:pt idx="5" formatCode="0.000">
                  <c:v>0.38600000000000001</c:v>
                </c:pt>
                <c:pt idx="6" formatCode="0.000">
                  <c:v>0.38600000000000001</c:v>
                </c:pt>
                <c:pt idx="7" formatCode="0.000">
                  <c:v>0.41199999999999998</c:v>
                </c:pt>
                <c:pt idx="8" formatCode="0.000">
                  <c:v>0.41399999999999998</c:v>
                </c:pt>
                <c:pt idx="9" formatCode="0.000">
                  <c:v>0.41299999999999998</c:v>
                </c:pt>
                <c:pt idx="10" formatCode="0.000">
                  <c:v>0.35199999999999998</c:v>
                </c:pt>
                <c:pt idx="11" formatCode="0.000">
                  <c:v>0.34300000000000003</c:v>
                </c:pt>
                <c:pt idx="12" formatCode="0.000">
                  <c:v>0.34300000000000003</c:v>
                </c:pt>
                <c:pt idx="13" formatCode="0.000">
                  <c:v>0.34300000000000003</c:v>
                </c:pt>
                <c:pt idx="14" formatCode="0.000">
                  <c:v>0.33900000000000002</c:v>
                </c:pt>
                <c:pt idx="15" formatCode="0.000">
                  <c:v>0.311</c:v>
                </c:pt>
                <c:pt idx="16" formatCode="0.000">
                  <c:v>0.251</c:v>
                </c:pt>
                <c:pt idx="17" formatCode="0.000">
                  <c:v>0.24199999999999999</c:v>
                </c:pt>
                <c:pt idx="18" formatCode="0.000">
                  <c:v>0.17599999999999999</c:v>
                </c:pt>
                <c:pt idx="19" formatCode="0.000">
                  <c:v>0.161</c:v>
                </c:pt>
                <c:pt idx="20" formatCode="0.000">
                  <c:v>0.14799999999999999</c:v>
                </c:pt>
                <c:pt idx="21" formatCode="0.000">
                  <c:v>0.14799999999999999</c:v>
                </c:pt>
                <c:pt idx="22" formatCode="0.000">
                  <c:v>0.14899999999999999</c:v>
                </c:pt>
                <c:pt idx="23" formatCode="0.000">
                  <c:v>0.14899999999999999</c:v>
                </c:pt>
                <c:pt idx="24" formatCode="0.000">
                  <c:v>0.13600000000000001</c:v>
                </c:pt>
                <c:pt idx="25" formatCode="0.000">
                  <c:v>0.14699999999999999</c:v>
                </c:pt>
                <c:pt idx="26" formatCode="0.000">
                  <c:v>0.14699999999999999</c:v>
                </c:pt>
                <c:pt idx="27" formatCode="0.000">
                  <c:v>0.14699999999999999</c:v>
                </c:pt>
                <c:pt idx="28" formatCode="0.000">
                  <c:v>0.14799999999999999</c:v>
                </c:pt>
                <c:pt idx="29" formatCode="0.000">
                  <c:v>0.14799999999999999</c:v>
                </c:pt>
                <c:pt idx="30" formatCode="0.000">
                  <c:v>0.13500000000000001</c:v>
                </c:pt>
                <c:pt idx="31" formatCode="0.000">
                  <c:v>0.13500000000000001</c:v>
                </c:pt>
                <c:pt idx="32" formatCode="0.000">
                  <c:v>0.129</c:v>
                </c:pt>
                <c:pt idx="33" formatCode="0.000">
                  <c:v>0.129</c:v>
                </c:pt>
                <c:pt idx="34" formatCode="0.000">
                  <c:v>0.13</c:v>
                </c:pt>
                <c:pt idx="35" formatCode="0.000">
                  <c:v>0.13100000000000001</c:v>
                </c:pt>
                <c:pt idx="36" formatCode="0.000">
                  <c:v>0.13100000000000001</c:v>
                </c:pt>
                <c:pt idx="37" formatCode="0.000">
                  <c:v>0.13100000000000001</c:v>
                </c:pt>
                <c:pt idx="38" formatCode="0.000">
                  <c:v>0.13300000000000001</c:v>
                </c:pt>
                <c:pt idx="39" formatCode="0.000">
                  <c:v>0.13300000000000001</c:v>
                </c:pt>
                <c:pt idx="40" formatCode="0.000">
                  <c:v>0.13900000000000001</c:v>
                </c:pt>
                <c:pt idx="41" formatCode="0.000">
                  <c:v>0.13900000000000001</c:v>
                </c:pt>
                <c:pt idx="42" formatCode="0.000">
                  <c:v>0.13900000000000001</c:v>
                </c:pt>
                <c:pt idx="43" formatCode="0.000">
                  <c:v>0.13900000000000001</c:v>
                </c:pt>
                <c:pt idx="44" formatCode="0.000">
                  <c:v>0.13900000000000001</c:v>
                </c:pt>
                <c:pt idx="45" formatCode="0.000">
                  <c:v>0.158</c:v>
                </c:pt>
                <c:pt idx="46" formatCode="0.000">
                  <c:v>0.158</c:v>
                </c:pt>
                <c:pt idx="47" formatCode="0.000">
                  <c:v>0.158</c:v>
                </c:pt>
                <c:pt idx="48" formatCode="0.000">
                  <c:v>0.17599999999999999</c:v>
                </c:pt>
                <c:pt idx="49" formatCode="0.000">
                  <c:v>0.17599999999999999</c:v>
                </c:pt>
                <c:pt idx="50" formatCode="0.000">
                  <c:v>0.17599999999999999</c:v>
                </c:pt>
                <c:pt idx="51" formatCode="0.000">
                  <c:v>0.17599999999999999</c:v>
                </c:pt>
                <c:pt idx="52" formatCode="0.000">
                  <c:v>0.17624999999999999</c:v>
                </c:pt>
                <c:pt idx="53" formatCode="0.000">
                  <c:v>0.17699999999999999</c:v>
                </c:pt>
                <c:pt idx="54" formatCode="0.000">
                  <c:v>0.184</c:v>
                </c:pt>
                <c:pt idx="55" formatCode="0.000">
                  <c:v>0.184</c:v>
                </c:pt>
                <c:pt idx="56" formatCode="0.000">
                  <c:v>0.22</c:v>
                </c:pt>
                <c:pt idx="57" formatCode="0.000">
                  <c:v>0.219</c:v>
                </c:pt>
                <c:pt idx="58" formatCode="0.000">
                  <c:v>0.222</c:v>
                </c:pt>
                <c:pt idx="59" formatCode="0.000">
                  <c:v>0.221</c:v>
                </c:pt>
                <c:pt idx="60" formatCode="0.000">
                  <c:v>0.22</c:v>
                </c:pt>
                <c:pt idx="61" formatCode="0.000">
                  <c:v>0.22600000000000001</c:v>
                </c:pt>
                <c:pt idx="62" formatCode="0.000">
                  <c:v>0.42</c:v>
                </c:pt>
                <c:pt idx="63" formatCode="0.000">
                  <c:v>0.42</c:v>
                </c:pt>
                <c:pt idx="64" formatCode="0.000">
                  <c:v>0.45700000000000002</c:v>
                </c:pt>
                <c:pt idx="65" formatCode="0.000">
                  <c:v>0.44600000000000001</c:v>
                </c:pt>
                <c:pt idx="66" formatCode="0.000">
                  <c:v>0.45900000000000002</c:v>
                </c:pt>
                <c:pt idx="67" formatCode="0.000">
                  <c:v>0.45300000000000001</c:v>
                </c:pt>
                <c:pt idx="68" formatCode="0.000">
                  <c:v>0.29699999999999999</c:v>
                </c:pt>
                <c:pt idx="69" formatCode="0.000">
                  <c:v>0.436</c:v>
                </c:pt>
                <c:pt idx="70" formatCode="0.000">
                  <c:v>0.42699999999999999</c:v>
                </c:pt>
                <c:pt idx="71" formatCode="0.000">
                  <c:v>0.39500000000000002</c:v>
                </c:pt>
                <c:pt idx="72" formatCode="0.000">
                  <c:v>0.39400000000000002</c:v>
                </c:pt>
                <c:pt idx="73" formatCode="0.000">
                  <c:v>0.39</c:v>
                </c:pt>
                <c:pt idx="74" formatCode="0.000">
                  <c:v>0.35599999999999998</c:v>
                </c:pt>
                <c:pt idx="75" formatCode="0.000">
                  <c:v>0.35399999999999998</c:v>
                </c:pt>
                <c:pt idx="76" formatCode="0.000">
                  <c:v>0.35499999999999998</c:v>
                </c:pt>
                <c:pt idx="77" formatCode="0.000">
                  <c:v>0.317</c:v>
                </c:pt>
                <c:pt idx="78" formatCode="0.000">
                  <c:v>0.316</c:v>
                </c:pt>
                <c:pt idx="79" formatCode="0.000">
                  <c:v>0.30599999999999999</c:v>
                </c:pt>
              </c:numCache>
            </c:numRef>
          </c:val>
          <c:smooth val="0"/>
          <c:extLst>
            <c:ext xmlns:c15="http://schemas.microsoft.com/office/drawing/2012/chart" uri="{02D57815-91ED-43cb-92C2-25804820EDAC}">
              <c15:categoryFilterExceptions>
                <c15:categoryFilterException>
                  <c15:sqref>'6.1'!$C$77</c15:sqref>
                  <c15:dLbl>
                    <c:idx val="-1"/>
                    <c:delete val="1"/>
                    <c:extLst>
                      <c:ext uri="{CE6537A1-D6FC-4f65-9D91-7224C49458BB}"/>
                      <c:ext xmlns:c16="http://schemas.microsoft.com/office/drawing/2014/chart" uri="{C3380CC4-5D6E-409C-BE32-E72D297353CC}">
                        <c16:uniqueId val="{00000000-10C5-4E92-B8BD-F6110D9E1A79}"/>
                      </c:ext>
                    </c:extLst>
                  </c15:dLbl>
                </c15:categoryFilterException>
                <c15:categoryFilterException>
                  <c15:sqref>'6.1'!$C$78</c15:sqref>
                  <c15:dLbl>
                    <c:idx val="-1"/>
                    <c:delete val="1"/>
                    <c:extLst>
                      <c:ext uri="{CE6537A1-D6FC-4f65-9D91-7224C49458BB}"/>
                      <c:ext xmlns:c16="http://schemas.microsoft.com/office/drawing/2014/chart" uri="{C3380CC4-5D6E-409C-BE32-E72D297353CC}">
                        <c16:uniqueId val="{00000001-10C5-4E92-B8BD-F6110D9E1A79}"/>
                      </c:ext>
                    </c:extLst>
                  </c15:dLbl>
                </c15:categoryFilterException>
                <c15:categoryFilterException>
                  <c15:sqref>'6.1'!$C$79</c15:sqref>
                  <c15:dLbl>
                    <c:idx val="-1"/>
                    <c:delete val="1"/>
                    <c:extLst>
                      <c:ext uri="{CE6537A1-D6FC-4f65-9D91-7224C49458BB}"/>
                      <c:ext xmlns:c16="http://schemas.microsoft.com/office/drawing/2014/chart" uri="{C3380CC4-5D6E-409C-BE32-E72D297353CC}">
                        <c16:uniqueId val="{00000002-10C5-4E92-B8BD-F6110D9E1A79}"/>
                      </c:ext>
                    </c:extLst>
                  </c15:dLbl>
                </c15:categoryFilterException>
                <c15:categoryFilterException>
                  <c15:sqref>'6.1'!$C$80</c15:sqref>
                  <c15:dLbl>
                    <c:idx val="-1"/>
                    <c:delete val="1"/>
                    <c:extLst>
                      <c:ext uri="{CE6537A1-D6FC-4f65-9D91-7224C49458BB}"/>
                      <c:ext xmlns:c16="http://schemas.microsoft.com/office/drawing/2014/chart" uri="{C3380CC4-5D6E-409C-BE32-E72D297353CC}">
                        <c16:uniqueId val="{00000003-10C5-4E92-B8BD-F6110D9E1A79}"/>
                      </c:ext>
                    </c:extLst>
                  </c15:dLbl>
                </c15:categoryFilterException>
                <c15:categoryFilterException>
                  <c15:sqref>'6.1'!$C$81</c15:sqref>
                  <c15:dLbl>
                    <c:idx val="-1"/>
                    <c:delete val="1"/>
                    <c:extLst>
                      <c:ext uri="{CE6537A1-D6FC-4f65-9D91-7224C49458BB}"/>
                      <c:ext xmlns:c16="http://schemas.microsoft.com/office/drawing/2014/chart" uri="{C3380CC4-5D6E-409C-BE32-E72D297353CC}">
                        <c16:uniqueId val="{00000004-10C5-4E92-B8BD-F6110D9E1A79}"/>
                      </c:ext>
                    </c:extLst>
                  </c15:dLbl>
                </c15:categoryFilterException>
                <c15:categoryFilterException>
                  <c15:sqref>'6.1'!$C$82</c15:sqref>
                  <c15:dLbl>
                    <c:idx val="-1"/>
                    <c:delete val="1"/>
                    <c:extLst>
                      <c:ext uri="{CE6537A1-D6FC-4f65-9D91-7224C49458BB}"/>
                      <c:ext xmlns:c16="http://schemas.microsoft.com/office/drawing/2014/chart" uri="{C3380CC4-5D6E-409C-BE32-E72D297353CC}">
                        <c16:uniqueId val="{00000005-10C5-4E92-B8BD-F6110D9E1A79}"/>
                      </c:ext>
                    </c:extLst>
                  </c15:dLbl>
                </c15:categoryFilterException>
                <c15:categoryFilterException>
                  <c15:sqref>'6.1'!$C$83</c15:sqref>
                  <c15:dLbl>
                    <c:idx val="-1"/>
                    <c:delete val="1"/>
                    <c:extLst>
                      <c:ext uri="{CE6537A1-D6FC-4f65-9D91-7224C49458BB}"/>
                      <c:ext xmlns:c16="http://schemas.microsoft.com/office/drawing/2014/chart" uri="{C3380CC4-5D6E-409C-BE32-E72D297353CC}">
                        <c16:uniqueId val="{00000006-10C5-4E92-B8BD-F6110D9E1A79}"/>
                      </c:ext>
                    </c:extLst>
                  </c15:dLbl>
                </c15:categoryFilterException>
                <c15:categoryFilterException>
                  <c15:sqref>'6.1'!$C$84</c15:sqref>
                  <c15:dLbl>
                    <c:idx val="-1"/>
                    <c:delete val="1"/>
                    <c:extLst>
                      <c:ext uri="{CE6537A1-D6FC-4f65-9D91-7224C49458BB}"/>
                      <c:ext xmlns:c16="http://schemas.microsoft.com/office/drawing/2014/chart" uri="{C3380CC4-5D6E-409C-BE32-E72D297353CC}">
                        <c16:uniqueId val="{00000007-10C5-4E92-B8BD-F6110D9E1A79}"/>
                      </c:ext>
                    </c:extLst>
                  </c15:dLbl>
                </c15:categoryFilterException>
                <c15:categoryFilterException>
                  <c15:sqref>'6.1'!$C$85</c15:sqref>
                  <c15:dLbl>
                    <c:idx val="-1"/>
                    <c:delete val="1"/>
                    <c:extLst>
                      <c:ext uri="{CE6537A1-D6FC-4f65-9D91-7224C49458BB}"/>
                      <c:ext xmlns:c16="http://schemas.microsoft.com/office/drawing/2014/chart" uri="{C3380CC4-5D6E-409C-BE32-E72D297353CC}">
                        <c16:uniqueId val="{00000008-10C5-4E92-B8BD-F6110D9E1A79}"/>
                      </c:ext>
                    </c:extLst>
                  </c15:dLbl>
                </c15:categoryFilterException>
                <c15:categoryFilterException>
                  <c15:sqref>'6.1'!$C$86</c15:sqref>
                  <c15:dLbl>
                    <c:idx val="-1"/>
                    <c:delete val="1"/>
                    <c:extLst>
                      <c:ext uri="{CE6537A1-D6FC-4f65-9D91-7224C49458BB}"/>
                      <c:ext xmlns:c16="http://schemas.microsoft.com/office/drawing/2014/chart" uri="{C3380CC4-5D6E-409C-BE32-E72D297353CC}">
                        <c16:uniqueId val="{00000009-10C5-4E92-B8BD-F6110D9E1A79}"/>
                      </c:ext>
                    </c:extLst>
                  </c15:dLbl>
                </c15:categoryFilterException>
                <c15:categoryFilterException>
                  <c15:sqref>'6.1'!$C$87</c15:sqref>
                  <c15:dLbl>
                    <c:idx val="-1"/>
                    <c:delete val="1"/>
                    <c:extLst>
                      <c:ext uri="{CE6537A1-D6FC-4f65-9D91-7224C49458BB}"/>
                      <c:ext xmlns:c16="http://schemas.microsoft.com/office/drawing/2014/chart" uri="{C3380CC4-5D6E-409C-BE32-E72D297353CC}">
                        <c16:uniqueId val="{0000000A-10C5-4E92-B8BD-F6110D9E1A79}"/>
                      </c:ext>
                    </c:extLst>
                  </c15:dLbl>
                </c15:categoryFilterException>
                <c15:categoryFilterException>
                  <c15:sqref>'6.1'!$C$88</c15:sqref>
                  <c15:dLbl>
                    <c:idx val="-1"/>
                    <c:delete val="1"/>
                    <c:extLst>
                      <c:ext uri="{CE6537A1-D6FC-4f65-9D91-7224C49458BB}"/>
                      <c:ext xmlns:c16="http://schemas.microsoft.com/office/drawing/2014/chart" uri="{C3380CC4-5D6E-409C-BE32-E72D297353CC}">
                        <c16:uniqueId val="{0000000B-10C5-4E92-B8BD-F6110D9E1A79}"/>
                      </c:ext>
                    </c:extLst>
                  </c15:dLbl>
                </c15:categoryFilterException>
                <c15:categoryFilterException>
                  <c15:sqref>'6.1'!$C$89</c15:sqref>
                  <c15:dLbl>
                    <c:idx val="-1"/>
                    <c:delete val="1"/>
                    <c:extLst>
                      <c:ext uri="{CE6537A1-D6FC-4f65-9D91-7224C49458BB}"/>
                      <c:ext xmlns:c16="http://schemas.microsoft.com/office/drawing/2014/chart" uri="{C3380CC4-5D6E-409C-BE32-E72D297353CC}">
                        <c16:uniqueId val="{0000000C-10C5-4E92-B8BD-F6110D9E1A79}"/>
                      </c:ext>
                    </c:extLst>
                  </c15:dLbl>
                </c15:categoryFilterException>
                <c15:categoryFilterException>
                  <c15:sqref>'6.1'!$C$90</c15:sqref>
                  <c15:dLbl>
                    <c:idx val="-1"/>
                    <c:delete val="1"/>
                    <c:extLst>
                      <c:ext uri="{CE6537A1-D6FC-4f65-9D91-7224C49458BB}"/>
                      <c:ext xmlns:c16="http://schemas.microsoft.com/office/drawing/2014/chart" uri="{C3380CC4-5D6E-409C-BE32-E72D297353CC}">
                        <c16:uniqueId val="{0000000D-10C5-4E92-B8BD-F6110D9E1A79}"/>
                      </c:ext>
                    </c:extLst>
                  </c15:dLbl>
                </c15:categoryFilterException>
                <c15:categoryFilterException>
                  <c15:sqref>'6.1'!$C$91</c15:sqref>
                  <c15:dLbl>
                    <c:idx val="-1"/>
                    <c:delete val="1"/>
                    <c:extLst>
                      <c:ext uri="{CE6537A1-D6FC-4f65-9D91-7224C49458BB}"/>
                      <c:ext xmlns:c16="http://schemas.microsoft.com/office/drawing/2014/chart" uri="{C3380CC4-5D6E-409C-BE32-E72D297353CC}">
                        <c16:uniqueId val="{0000000E-10C5-4E92-B8BD-F6110D9E1A79}"/>
                      </c:ext>
                    </c:extLst>
                  </c15:dLbl>
                </c15:categoryFilterException>
                <c15:categoryFilterException>
                  <c15:sqref>'6.1'!$C$92</c15:sqref>
                  <c15:dLbl>
                    <c:idx val="-1"/>
                    <c:delete val="1"/>
                    <c:extLst>
                      <c:ext uri="{CE6537A1-D6FC-4f65-9D91-7224C49458BB}"/>
                      <c:ext xmlns:c16="http://schemas.microsoft.com/office/drawing/2014/chart" uri="{C3380CC4-5D6E-409C-BE32-E72D297353CC}">
                        <c16:uniqueId val="{0000000F-10C5-4E92-B8BD-F6110D9E1A79}"/>
                      </c:ext>
                    </c:extLst>
                  </c15:dLbl>
                </c15:categoryFilterException>
                <c15:categoryFilterException>
                  <c15:sqref>'6.1'!$C$93</c15:sqref>
                  <c15:dLbl>
                    <c:idx val="-1"/>
                    <c:delete val="1"/>
                    <c:extLst>
                      <c:ext uri="{CE6537A1-D6FC-4f65-9D91-7224C49458BB}"/>
                      <c:ext xmlns:c16="http://schemas.microsoft.com/office/drawing/2014/chart" uri="{C3380CC4-5D6E-409C-BE32-E72D297353CC}">
                        <c16:uniqueId val="{00000010-10C5-4E92-B8BD-F6110D9E1A79}"/>
                      </c:ext>
                    </c:extLst>
                  </c15:dLbl>
                </c15:categoryFilterException>
                <c15:categoryFilterException>
                  <c15:sqref>'6.1'!$C$94</c15:sqref>
                  <c15:dLbl>
                    <c:idx val="-1"/>
                    <c:delete val="1"/>
                    <c:extLst>
                      <c:ext uri="{CE6537A1-D6FC-4f65-9D91-7224C49458BB}"/>
                      <c:ext xmlns:c16="http://schemas.microsoft.com/office/drawing/2014/chart" uri="{C3380CC4-5D6E-409C-BE32-E72D297353CC}">
                        <c16:uniqueId val="{00000011-10C5-4E92-B8BD-F6110D9E1A79}"/>
                      </c:ext>
                    </c:extLst>
                  </c15:dLbl>
                </c15:categoryFilterException>
                <c15:categoryFilterException>
                  <c15:sqref>'6.1'!$C$95</c15:sqref>
                  <c15:dLbl>
                    <c:idx val="-1"/>
                    <c:delete val="1"/>
                    <c:extLst>
                      <c:ext uri="{CE6537A1-D6FC-4f65-9D91-7224C49458BB}"/>
                      <c:ext xmlns:c16="http://schemas.microsoft.com/office/drawing/2014/chart" uri="{C3380CC4-5D6E-409C-BE32-E72D297353CC}">
                        <c16:uniqueId val="{00000012-10C5-4E92-B8BD-F6110D9E1A79}"/>
                      </c:ext>
                    </c:extLst>
                  </c15:dLbl>
                </c15:categoryFilterException>
                <c15:categoryFilterException>
                  <c15:sqref>'6.1'!$C$96</c15:sqref>
                  <c15:dLbl>
                    <c:idx val="-1"/>
                    <c:delete val="1"/>
                    <c:extLst>
                      <c:ext uri="{CE6537A1-D6FC-4f65-9D91-7224C49458BB}"/>
                      <c:ext xmlns:c16="http://schemas.microsoft.com/office/drawing/2014/chart" uri="{C3380CC4-5D6E-409C-BE32-E72D297353CC}">
                        <c16:uniqueId val="{00000013-10C5-4E92-B8BD-F6110D9E1A79}"/>
                      </c:ext>
                    </c:extLst>
                  </c15:dLbl>
                </c15:categoryFilterException>
                <c15:categoryFilterException>
                  <c15:sqref>'6.1'!$C$97</c15:sqref>
                  <c15:dLbl>
                    <c:idx val="-1"/>
                    <c:delete val="1"/>
                    <c:extLst>
                      <c:ext uri="{CE6537A1-D6FC-4f65-9D91-7224C49458BB}"/>
                      <c:ext xmlns:c16="http://schemas.microsoft.com/office/drawing/2014/chart" uri="{C3380CC4-5D6E-409C-BE32-E72D297353CC}">
                        <c16:uniqueId val="{00000014-10C5-4E92-B8BD-F6110D9E1A79}"/>
                      </c:ext>
                    </c:extLst>
                  </c15:dLbl>
                </c15:categoryFilterException>
                <c15:categoryFilterException>
                  <c15:sqref>'6.1'!$C$98</c15:sqref>
                  <c15:dLbl>
                    <c:idx val="-1"/>
                    <c:delete val="1"/>
                    <c:extLst>
                      <c:ext uri="{CE6537A1-D6FC-4f65-9D91-7224C49458BB}"/>
                      <c:ext xmlns:c16="http://schemas.microsoft.com/office/drawing/2014/chart" uri="{C3380CC4-5D6E-409C-BE32-E72D297353CC}">
                        <c16:uniqueId val="{00000015-10C5-4E92-B8BD-F6110D9E1A79}"/>
                      </c:ext>
                    </c:extLst>
                  </c15:dLbl>
                </c15:categoryFilterException>
                <c15:categoryFilterException>
                  <c15:sqref>'6.1'!$C$99</c15:sqref>
                  <c15:dLbl>
                    <c:idx val="-1"/>
                    <c:delete val="1"/>
                    <c:extLst>
                      <c:ext uri="{CE6537A1-D6FC-4f65-9D91-7224C49458BB}"/>
                      <c:ext xmlns:c16="http://schemas.microsoft.com/office/drawing/2014/chart" uri="{C3380CC4-5D6E-409C-BE32-E72D297353CC}">
                        <c16:uniqueId val="{00000016-10C5-4E92-B8BD-F6110D9E1A79}"/>
                      </c:ext>
                    </c:extLst>
                  </c15:dLbl>
                </c15:categoryFilterException>
                <c15:categoryFilterException>
                  <c15:sqref>'6.1'!$C$100</c15:sqref>
                  <c15:dLbl>
                    <c:idx val="-1"/>
                    <c:delete val="1"/>
                    <c:extLst>
                      <c:ext uri="{CE6537A1-D6FC-4f65-9D91-7224C49458BB}"/>
                      <c:ext xmlns:c16="http://schemas.microsoft.com/office/drawing/2014/chart" uri="{C3380CC4-5D6E-409C-BE32-E72D297353CC}">
                        <c16:uniqueId val="{00000017-10C5-4E92-B8BD-F6110D9E1A79}"/>
                      </c:ext>
                    </c:extLst>
                  </c15:dLbl>
                </c15:categoryFilterException>
              </c15:categoryFilterExceptions>
            </c:ext>
            <c:ext xmlns:c16="http://schemas.microsoft.com/office/drawing/2014/chart" uri="{C3380CC4-5D6E-409C-BE32-E72D297353CC}">
              <c16:uniqueId val="{00000046-671E-48EB-9C93-9A03351AE2D8}"/>
            </c:ext>
          </c:extLst>
        </c:ser>
        <c:ser>
          <c:idx val="1"/>
          <c:order val="1"/>
          <c:tx>
            <c:strRef>
              <c:f>'6.1'!$D$3</c:f>
              <c:strCache>
                <c:ptCount val="1"/>
                <c:pt idx="0">
                  <c:v>Average Deposit Rate 
6 Months</c:v>
                </c:pt>
              </c:strCache>
            </c:strRef>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F-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60-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61-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62-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63-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64-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65-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66-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67-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68-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69-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6A-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6B-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6C-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6D-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6E-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6F-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70-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71-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72-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73-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74-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75-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76-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77-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78-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79-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7A-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7B-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7C-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7D-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7E-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7F-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80-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81-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82-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83-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84-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85-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86-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87-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88-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89-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8A-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8B-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8C-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1-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1-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1-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1-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1-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4-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5-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3-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3-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2-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1-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5-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4-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3-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9-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7-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8-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5-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1-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2-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5-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4-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3-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3-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5-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6-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5-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4-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3-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5-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4-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3-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9-A4C6-4B31-BDDC-A2377402BBDE}"/>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'6.1'!$A$29:$B$180</c15:sqref>
                  </c15:fullRef>
                </c:ext>
              </c:extLst>
              <c:f>'6.1'!$A$101:$B$180</c:f>
              <c:multiLvlStrCache>
                <c:ptCount val="8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'6.1'!$D$29:$D$180</c15:sqref>
                  </c15:fullRef>
                </c:ext>
              </c:extLst>
              <c:f>'6.1'!$D$101:$D$180</c:f>
              <c:numCache>
                <c:formatCode>#,##0.000</c:formatCode>
                <c:ptCount val="80"/>
                <c:pt idx="0" formatCode="0.000">
                  <c:v>0.439</c:v>
                </c:pt>
                <c:pt idx="1" formatCode="0.000">
                  <c:v>0.44400000000000001</c:v>
                </c:pt>
                <c:pt idx="2" formatCode="0.000">
                  <c:v>0.44700000000000001</c:v>
                </c:pt>
                <c:pt idx="3" formatCode="0.000">
                  <c:v>0.46</c:v>
                </c:pt>
                <c:pt idx="4" formatCode="0.000">
                  <c:v>0.46899999999999997</c:v>
                </c:pt>
                <c:pt idx="5" formatCode="0.000">
                  <c:v>0.49199999999999999</c:v>
                </c:pt>
                <c:pt idx="6" formatCode="0.000">
                  <c:v>0.49399999999999999</c:v>
                </c:pt>
                <c:pt idx="7" formatCode="0.000">
                  <c:v>0.49199999999999999</c:v>
                </c:pt>
                <c:pt idx="8" formatCode="0.000">
                  <c:v>0.49099999999999999</c:v>
                </c:pt>
                <c:pt idx="9" formatCode="0.000">
                  <c:v>0.47499999999999998</c:v>
                </c:pt>
                <c:pt idx="10" formatCode="0.000">
                  <c:v>0.46899999999999997</c:v>
                </c:pt>
                <c:pt idx="11" formatCode="0.000">
                  <c:v>0.46500000000000002</c:v>
                </c:pt>
                <c:pt idx="12" formatCode="0.000">
                  <c:v>0.436</c:v>
                </c:pt>
                <c:pt idx="13" formatCode="0.000">
                  <c:v>0.436</c:v>
                </c:pt>
                <c:pt idx="14" formatCode="0.000">
                  <c:v>0.435</c:v>
                </c:pt>
                <c:pt idx="15" formatCode="0.000">
                  <c:v>0.39600000000000002</c:v>
                </c:pt>
                <c:pt idx="16" formatCode="0.000">
                  <c:v>0.372</c:v>
                </c:pt>
                <c:pt idx="17" formatCode="0.000">
                  <c:v>0.36899999999999999</c:v>
                </c:pt>
                <c:pt idx="18" formatCode="0.000">
                  <c:v>0.28299999999999997</c:v>
                </c:pt>
                <c:pt idx="19" formatCode="0.000">
                  <c:v>0.27200000000000002</c:v>
                </c:pt>
                <c:pt idx="20" formatCode="0.000">
                  <c:v>0.25</c:v>
                </c:pt>
                <c:pt idx="21" formatCode="0.000">
                  <c:v>0.23599999999999999</c:v>
                </c:pt>
                <c:pt idx="22" formatCode="0.000">
                  <c:v>0.23100000000000001</c:v>
                </c:pt>
                <c:pt idx="23" formatCode="0.000">
                  <c:v>0.23100000000000001</c:v>
                </c:pt>
                <c:pt idx="24" formatCode="0.000">
                  <c:v>0.23100000000000001</c:v>
                </c:pt>
                <c:pt idx="25" formatCode="0.000">
                  <c:v>0.23100000000000001</c:v>
                </c:pt>
                <c:pt idx="26" formatCode="0.000">
                  <c:v>0.22500000000000001</c:v>
                </c:pt>
                <c:pt idx="27" formatCode="0.000">
                  <c:v>0.22500000000000001</c:v>
                </c:pt>
                <c:pt idx="28" formatCode="0.000">
                  <c:v>0.22500000000000001</c:v>
                </c:pt>
                <c:pt idx="29" formatCode="0.000">
                  <c:v>0.224</c:v>
                </c:pt>
                <c:pt idx="30" formatCode="0.000">
                  <c:v>0.19900000000000001</c:v>
                </c:pt>
                <c:pt idx="31" formatCode="0.000">
                  <c:v>0.19900000000000001</c:v>
                </c:pt>
                <c:pt idx="32" formatCode="0.000">
                  <c:v>0.187</c:v>
                </c:pt>
                <c:pt idx="33" formatCode="0.000">
                  <c:v>0.187</c:v>
                </c:pt>
                <c:pt idx="34" formatCode="0.000">
                  <c:v>0.187</c:v>
                </c:pt>
                <c:pt idx="35" formatCode="0.000">
                  <c:v>0.187</c:v>
                </c:pt>
                <c:pt idx="36" formatCode="0.000">
                  <c:v>0.187</c:v>
                </c:pt>
                <c:pt idx="37" formatCode="0.000">
                  <c:v>0.187</c:v>
                </c:pt>
                <c:pt idx="38" formatCode="0.000">
                  <c:v>0.187</c:v>
                </c:pt>
                <c:pt idx="39" formatCode="0.000">
                  <c:v>0.187</c:v>
                </c:pt>
                <c:pt idx="40" formatCode="0.000">
                  <c:v>0.187</c:v>
                </c:pt>
                <c:pt idx="41" formatCode="0.000">
                  <c:v>0.187</c:v>
                </c:pt>
                <c:pt idx="42" formatCode="0.000">
                  <c:v>0.187</c:v>
                </c:pt>
                <c:pt idx="43" formatCode="0.000">
                  <c:v>0.187</c:v>
                </c:pt>
                <c:pt idx="44" formatCode="0.000">
                  <c:v>0.187</c:v>
                </c:pt>
                <c:pt idx="45" formatCode="0.000">
                  <c:v>0.219</c:v>
                </c:pt>
                <c:pt idx="46" formatCode="0.000">
                  <c:v>0.25</c:v>
                </c:pt>
                <c:pt idx="47" formatCode="0.000">
                  <c:v>0.26900000000000002</c:v>
                </c:pt>
                <c:pt idx="48" formatCode="0.000">
                  <c:v>0.3</c:v>
                </c:pt>
                <c:pt idx="49" formatCode="0.000">
                  <c:v>0.311</c:v>
                </c:pt>
                <c:pt idx="50" formatCode="0.000">
                  <c:v>0.312</c:v>
                </c:pt>
                <c:pt idx="51" formatCode="0.000">
                  <c:v>0.312</c:v>
                </c:pt>
                <c:pt idx="52" formatCode="0.000">
                  <c:v>0.33163749999999997</c:v>
                </c:pt>
                <c:pt idx="53" formatCode="0.000">
                  <c:v>0.33200000000000002</c:v>
                </c:pt>
                <c:pt idx="54" formatCode="0.000">
                  <c:v>0.35599999999999998</c:v>
                </c:pt>
                <c:pt idx="55" formatCode="0.000">
                  <c:v>0.35599999999999998</c:v>
                </c:pt>
                <c:pt idx="56" formatCode="0.000">
                  <c:v>0.36699999999999999</c:v>
                </c:pt>
                <c:pt idx="57" formatCode="0.000">
                  <c:v>0.375</c:v>
                </c:pt>
                <c:pt idx="58" formatCode="0.000">
                  <c:v>0.38</c:v>
                </c:pt>
                <c:pt idx="59" formatCode="0.000">
                  <c:v>0.38100000000000001</c:v>
                </c:pt>
                <c:pt idx="60" formatCode="0.000">
                  <c:v>0.36</c:v>
                </c:pt>
                <c:pt idx="61" formatCode="0.000">
                  <c:v>0.36599999999999999</c:v>
                </c:pt>
                <c:pt idx="62" formatCode="0.000">
                  <c:v>0.35699999999999998</c:v>
                </c:pt>
                <c:pt idx="63" formatCode="0.000">
                  <c:v>0.371</c:v>
                </c:pt>
                <c:pt idx="64" formatCode="0.000">
                  <c:v>0.40899999999999997</c:v>
                </c:pt>
                <c:pt idx="65" formatCode="0.000">
                  <c:v>0.42199999999999999</c:v>
                </c:pt>
                <c:pt idx="66" formatCode="0.000">
                  <c:v>0.437</c:v>
                </c:pt>
                <c:pt idx="67" formatCode="0.000">
                  <c:v>0.433</c:v>
                </c:pt>
                <c:pt idx="68" formatCode="0.000">
                  <c:v>0.438</c:v>
                </c:pt>
                <c:pt idx="69" formatCode="0.000">
                  <c:v>0.443</c:v>
                </c:pt>
                <c:pt idx="70" formatCode="0.000">
                  <c:v>0.41699999999999998</c:v>
                </c:pt>
                <c:pt idx="71" formatCode="0.000">
                  <c:v>0.42099999999999999</c:v>
                </c:pt>
                <c:pt idx="72" formatCode="0.000">
                  <c:v>0.41899999999999998</c:v>
                </c:pt>
                <c:pt idx="73" formatCode="0.000">
                  <c:v>0.42399999999999999</c:v>
                </c:pt>
                <c:pt idx="74" formatCode="0.000">
                  <c:v>0.433</c:v>
                </c:pt>
                <c:pt idx="75" formatCode="0.000">
                  <c:v>0.41799999999999998</c:v>
                </c:pt>
                <c:pt idx="76" formatCode="0.000">
                  <c:v>0.41</c:v>
                </c:pt>
                <c:pt idx="77" formatCode="0.000">
                  <c:v>0.40200000000000002</c:v>
                </c:pt>
                <c:pt idx="78" formatCode="0.000">
                  <c:v>0.39</c:v>
                </c:pt>
                <c:pt idx="79" formatCode="0.000">
                  <c:v>0.378</c:v>
                </c:pt>
              </c:numCache>
            </c:numRef>
          </c:val>
          <c:smooth val="0"/>
          <c:extLst>
            <c:ext xmlns:c15="http://schemas.microsoft.com/office/drawing/2012/chart" uri="{02D57815-91ED-43cb-92C2-25804820EDAC}">
              <c15:categoryFilterExceptions>
                <c15:categoryFilterException>
                  <c15:sqref>'6.1'!$D$53</c15:sqref>
                  <c15:dLbl>
                    <c:idx val="-1"/>
                    <c:delete val="1"/>
                    <c:extLst>
                      <c:ext uri="{CE6537A1-D6FC-4f65-9D91-7224C49458BB}"/>
                      <c:ext xmlns:c16="http://schemas.microsoft.com/office/drawing/2014/chart" uri="{C3380CC4-5D6E-409C-BE32-E72D297353CC}">
                        <c16:uniqueId val="{00000018-10C5-4E92-B8BD-F6110D9E1A79}"/>
                      </c:ext>
                    </c:extLst>
                  </c15:dLbl>
                </c15:categoryFilterException>
                <c15:categoryFilterException>
                  <c15:sqref>'6.1'!$D$54</c15:sqref>
                  <c15:dLbl>
                    <c:idx val="-1"/>
                    <c:delete val="1"/>
                    <c:extLst>
                      <c:ext uri="{CE6537A1-D6FC-4f65-9D91-7224C49458BB}"/>
                      <c:ext xmlns:c16="http://schemas.microsoft.com/office/drawing/2014/chart" uri="{C3380CC4-5D6E-409C-BE32-E72D297353CC}">
                        <c16:uniqueId val="{00000019-10C5-4E92-B8BD-F6110D9E1A79}"/>
                      </c:ext>
                    </c:extLst>
                  </c15:dLbl>
                </c15:categoryFilterException>
                <c15:categoryFilterException>
                  <c15:sqref>'6.1'!$D$55</c15:sqref>
                  <c15:dLbl>
                    <c:idx val="-1"/>
                    <c:delete val="1"/>
                    <c:extLst>
                      <c:ext uri="{CE6537A1-D6FC-4f65-9D91-7224C49458BB}"/>
                      <c:ext xmlns:c16="http://schemas.microsoft.com/office/drawing/2014/chart" uri="{C3380CC4-5D6E-409C-BE32-E72D297353CC}">
                        <c16:uniqueId val="{0000001A-10C5-4E92-B8BD-F6110D9E1A79}"/>
                      </c:ext>
                    </c:extLst>
                  </c15:dLbl>
                </c15:categoryFilterException>
                <c15:categoryFilterException>
                  <c15:sqref>'6.1'!$D$56</c15:sqref>
                  <c15:dLbl>
                    <c:idx val="-1"/>
                    <c:delete val="1"/>
                    <c:extLst>
                      <c:ext uri="{CE6537A1-D6FC-4f65-9D91-7224C49458BB}"/>
                      <c:ext xmlns:c16="http://schemas.microsoft.com/office/drawing/2014/chart" uri="{C3380CC4-5D6E-409C-BE32-E72D297353CC}">
                        <c16:uniqueId val="{0000001B-10C5-4E92-B8BD-F6110D9E1A79}"/>
                      </c:ext>
                    </c:extLst>
                  </c15:dLbl>
                </c15:categoryFilterException>
                <c15:categoryFilterException>
                  <c15:sqref>'6.1'!$D$57</c15:sqref>
                  <c15:dLbl>
                    <c:idx val="-1"/>
                    <c:delete val="1"/>
                    <c:extLst>
                      <c:ext uri="{CE6537A1-D6FC-4f65-9D91-7224C49458BB}"/>
                      <c:ext xmlns:c16="http://schemas.microsoft.com/office/drawing/2014/chart" uri="{C3380CC4-5D6E-409C-BE32-E72D297353CC}">
                        <c16:uniqueId val="{0000001C-10C5-4E92-B8BD-F6110D9E1A79}"/>
                      </c:ext>
                    </c:extLst>
                  </c15:dLbl>
                </c15:categoryFilterException>
                <c15:categoryFilterException>
                  <c15:sqref>'6.1'!$D$58</c15:sqref>
                  <c15:dLbl>
                    <c:idx val="-1"/>
                    <c:delete val="1"/>
                    <c:extLst>
                      <c:ext uri="{CE6537A1-D6FC-4f65-9D91-7224C49458BB}"/>
                      <c:ext xmlns:c16="http://schemas.microsoft.com/office/drawing/2014/chart" uri="{C3380CC4-5D6E-409C-BE32-E72D297353CC}">
                        <c16:uniqueId val="{0000001D-10C5-4E92-B8BD-F6110D9E1A79}"/>
                      </c:ext>
                    </c:extLst>
                  </c15:dLbl>
                </c15:categoryFilterException>
                <c15:categoryFilterException>
                  <c15:sqref>'6.1'!$D$59</c15:sqref>
                  <c15:dLbl>
                    <c:idx val="-1"/>
                    <c:delete val="1"/>
                    <c:extLst>
                      <c:ext uri="{CE6537A1-D6FC-4f65-9D91-7224C49458BB}"/>
                      <c:ext xmlns:c16="http://schemas.microsoft.com/office/drawing/2014/chart" uri="{C3380CC4-5D6E-409C-BE32-E72D297353CC}">
                        <c16:uniqueId val="{0000001E-10C5-4E92-B8BD-F6110D9E1A79}"/>
                      </c:ext>
                    </c:extLst>
                  </c15:dLbl>
                </c15:categoryFilterException>
                <c15:categoryFilterException>
                  <c15:sqref>'6.1'!$D$60</c15:sqref>
                  <c15:dLbl>
                    <c:idx val="-1"/>
                    <c:delete val="1"/>
                    <c:extLst>
                      <c:ext uri="{CE6537A1-D6FC-4f65-9D91-7224C49458BB}"/>
                      <c:ext xmlns:c16="http://schemas.microsoft.com/office/drawing/2014/chart" uri="{C3380CC4-5D6E-409C-BE32-E72D297353CC}">
                        <c16:uniqueId val="{0000001F-10C5-4E92-B8BD-F6110D9E1A79}"/>
                      </c:ext>
                    </c:extLst>
                  </c15:dLbl>
                </c15:categoryFilterException>
                <c15:categoryFilterException>
                  <c15:sqref>'6.1'!$D$61</c15:sqref>
                  <c15:dLbl>
                    <c:idx val="-1"/>
                    <c:delete val="1"/>
                    <c:extLst>
                      <c:ext uri="{CE6537A1-D6FC-4f65-9D91-7224C49458BB}"/>
                      <c:ext xmlns:c16="http://schemas.microsoft.com/office/drawing/2014/chart" uri="{C3380CC4-5D6E-409C-BE32-E72D297353CC}">
                        <c16:uniqueId val="{00000020-10C5-4E92-B8BD-F6110D9E1A79}"/>
                      </c:ext>
                    </c:extLst>
                  </c15:dLbl>
                </c15:categoryFilterException>
                <c15:categoryFilterException>
                  <c15:sqref>'6.1'!$D$62</c15:sqref>
                  <c15:dLbl>
                    <c:idx val="-1"/>
                    <c:delete val="1"/>
                    <c:extLst>
                      <c:ext uri="{CE6537A1-D6FC-4f65-9D91-7224C49458BB}"/>
                      <c:ext xmlns:c16="http://schemas.microsoft.com/office/drawing/2014/chart" uri="{C3380CC4-5D6E-409C-BE32-E72D297353CC}">
                        <c16:uniqueId val="{00000021-10C5-4E92-B8BD-F6110D9E1A79}"/>
                      </c:ext>
                    </c:extLst>
                  </c15:dLbl>
                </c15:categoryFilterException>
                <c15:categoryFilterException>
                  <c15:sqref>'6.1'!$D$63</c15:sqref>
                  <c15:dLbl>
                    <c:idx val="-1"/>
                    <c:delete val="1"/>
                    <c:extLst>
                      <c:ext uri="{CE6537A1-D6FC-4f65-9D91-7224C49458BB}"/>
                      <c:ext xmlns:c16="http://schemas.microsoft.com/office/drawing/2014/chart" uri="{C3380CC4-5D6E-409C-BE32-E72D297353CC}">
                        <c16:uniqueId val="{00000022-10C5-4E92-B8BD-F6110D9E1A79}"/>
                      </c:ext>
                    </c:extLst>
                  </c15:dLbl>
                </c15:categoryFilterException>
                <c15:categoryFilterException>
                  <c15:sqref>'6.1'!$D$64</c15:sqref>
                  <c15:dLbl>
                    <c:idx val="-1"/>
                    <c:delete val="1"/>
                    <c:extLst>
                      <c:ext uri="{CE6537A1-D6FC-4f65-9D91-7224C49458BB}"/>
                      <c:ext xmlns:c16="http://schemas.microsoft.com/office/drawing/2014/chart" uri="{C3380CC4-5D6E-409C-BE32-E72D297353CC}">
                        <c16:uniqueId val="{00000023-10C5-4E92-B8BD-F6110D9E1A79}"/>
                      </c:ext>
                    </c:extLst>
                  </c15:dLbl>
                </c15:categoryFilterException>
                <c15:categoryFilterException>
                  <c15:sqref>'6.1'!$D$65</c15:sqref>
                  <c15:dLbl>
                    <c:idx val="-1"/>
                    <c:delete val="1"/>
                    <c:extLst>
                      <c:ext uri="{CE6537A1-D6FC-4f65-9D91-7224C49458BB}"/>
                      <c:ext xmlns:c16="http://schemas.microsoft.com/office/drawing/2014/chart" uri="{C3380CC4-5D6E-409C-BE32-E72D297353CC}">
                        <c16:uniqueId val="{00000024-10C5-4E92-B8BD-F6110D9E1A79}"/>
                      </c:ext>
                    </c:extLst>
                  </c15:dLbl>
                </c15:categoryFilterException>
                <c15:categoryFilterException>
                  <c15:sqref>'6.1'!$D$66</c15:sqref>
                  <c15:dLbl>
                    <c:idx val="-1"/>
                    <c:delete val="1"/>
                    <c:extLst>
                      <c:ext uri="{CE6537A1-D6FC-4f65-9D91-7224C49458BB}"/>
                      <c:ext xmlns:c16="http://schemas.microsoft.com/office/drawing/2014/chart" uri="{C3380CC4-5D6E-409C-BE32-E72D297353CC}">
                        <c16:uniqueId val="{00000025-10C5-4E92-B8BD-F6110D9E1A79}"/>
                      </c:ext>
                    </c:extLst>
                  </c15:dLbl>
                </c15:categoryFilterException>
                <c15:categoryFilterException>
                  <c15:sqref>'6.1'!$D$67</c15:sqref>
                  <c15:dLbl>
                    <c:idx val="-1"/>
                    <c:delete val="1"/>
                    <c:extLst>
                      <c:ext uri="{CE6537A1-D6FC-4f65-9D91-7224C49458BB}"/>
                      <c:ext xmlns:c16="http://schemas.microsoft.com/office/drawing/2014/chart" uri="{C3380CC4-5D6E-409C-BE32-E72D297353CC}">
                        <c16:uniqueId val="{00000026-10C5-4E92-B8BD-F6110D9E1A79}"/>
                      </c:ext>
                    </c:extLst>
                  </c15:dLbl>
                </c15:categoryFilterException>
                <c15:categoryFilterException>
                  <c15:sqref>'6.1'!$D$68</c15:sqref>
                  <c15:dLbl>
                    <c:idx val="-1"/>
                    <c:delete val="1"/>
                    <c:extLst>
                      <c:ext uri="{CE6537A1-D6FC-4f65-9D91-7224C49458BB}"/>
                      <c:ext xmlns:c16="http://schemas.microsoft.com/office/drawing/2014/chart" uri="{C3380CC4-5D6E-409C-BE32-E72D297353CC}">
                        <c16:uniqueId val="{00000027-10C5-4E92-B8BD-F6110D9E1A79}"/>
                      </c:ext>
                    </c:extLst>
                  </c15:dLbl>
                </c15:categoryFilterException>
                <c15:categoryFilterException>
                  <c15:sqref>'6.1'!$D$69</c15:sqref>
                  <c15:dLbl>
                    <c:idx val="-1"/>
                    <c:delete val="1"/>
                    <c:extLst>
                      <c:ext uri="{CE6537A1-D6FC-4f65-9D91-7224C49458BB}"/>
                      <c:ext xmlns:c16="http://schemas.microsoft.com/office/drawing/2014/chart" uri="{C3380CC4-5D6E-409C-BE32-E72D297353CC}">
                        <c16:uniqueId val="{00000028-10C5-4E92-B8BD-F6110D9E1A79}"/>
                      </c:ext>
                    </c:extLst>
                  </c15:dLbl>
                </c15:categoryFilterException>
                <c15:categoryFilterException>
                  <c15:sqref>'6.1'!$D$70</c15:sqref>
                  <c15:dLbl>
                    <c:idx val="-1"/>
                    <c:delete val="1"/>
                    <c:extLst>
                      <c:ext uri="{CE6537A1-D6FC-4f65-9D91-7224C49458BB}"/>
                      <c:ext xmlns:c16="http://schemas.microsoft.com/office/drawing/2014/chart" uri="{C3380CC4-5D6E-409C-BE32-E72D297353CC}">
                        <c16:uniqueId val="{00000029-10C5-4E92-B8BD-F6110D9E1A79}"/>
                      </c:ext>
                    </c:extLst>
                  </c15:dLbl>
                </c15:categoryFilterException>
                <c15:categoryFilterException>
                  <c15:sqref>'6.1'!$D$71</c15:sqref>
                  <c15:dLbl>
                    <c:idx val="-1"/>
                    <c:delete val="1"/>
                    <c:extLst>
                      <c:ext uri="{CE6537A1-D6FC-4f65-9D91-7224C49458BB}"/>
                      <c:ext xmlns:c16="http://schemas.microsoft.com/office/drawing/2014/chart" uri="{C3380CC4-5D6E-409C-BE32-E72D297353CC}">
                        <c16:uniqueId val="{0000002A-10C5-4E92-B8BD-F6110D9E1A79}"/>
                      </c:ext>
                    </c:extLst>
                  </c15:dLbl>
                </c15:categoryFilterException>
                <c15:categoryFilterException>
                  <c15:sqref>'6.1'!$D$72</c15:sqref>
                  <c15:dLbl>
                    <c:idx val="-1"/>
                    <c:delete val="1"/>
                    <c:extLst>
                      <c:ext uri="{CE6537A1-D6FC-4f65-9D91-7224C49458BB}"/>
                      <c:ext xmlns:c16="http://schemas.microsoft.com/office/drawing/2014/chart" uri="{C3380CC4-5D6E-409C-BE32-E72D297353CC}">
                        <c16:uniqueId val="{0000002B-10C5-4E92-B8BD-F6110D9E1A79}"/>
                      </c:ext>
                    </c:extLst>
                  </c15:dLbl>
                </c15:categoryFilterException>
                <c15:categoryFilterException>
                  <c15:sqref>'6.1'!$D$73</c15:sqref>
                  <c15:dLbl>
                    <c:idx val="-1"/>
                    <c:delete val="1"/>
                    <c:extLst>
                      <c:ext uri="{CE6537A1-D6FC-4f65-9D91-7224C49458BB}"/>
                      <c:ext xmlns:c16="http://schemas.microsoft.com/office/drawing/2014/chart" uri="{C3380CC4-5D6E-409C-BE32-E72D297353CC}">
                        <c16:uniqueId val="{0000002C-10C5-4E92-B8BD-F6110D9E1A79}"/>
                      </c:ext>
                    </c:extLst>
                  </c15:dLbl>
                </c15:categoryFilterException>
                <c15:categoryFilterException>
                  <c15:sqref>'6.1'!$D$74</c15:sqref>
                  <c15:dLbl>
                    <c:idx val="-1"/>
                    <c:delete val="1"/>
                    <c:extLst>
                      <c:ext uri="{CE6537A1-D6FC-4f65-9D91-7224C49458BB}"/>
                      <c:ext xmlns:c16="http://schemas.microsoft.com/office/drawing/2014/chart" uri="{C3380CC4-5D6E-409C-BE32-E72D297353CC}">
                        <c16:uniqueId val="{0000002D-10C5-4E92-B8BD-F6110D9E1A79}"/>
                      </c:ext>
                    </c:extLst>
                  </c15:dLbl>
                </c15:categoryFilterException>
                <c15:categoryFilterException>
                  <c15:sqref>'6.1'!$D$75</c15:sqref>
                  <c15:dLbl>
                    <c:idx val="-1"/>
                    <c:delete val="1"/>
                    <c:extLst>
                      <c:ext uri="{CE6537A1-D6FC-4f65-9D91-7224C49458BB}"/>
                      <c:ext xmlns:c16="http://schemas.microsoft.com/office/drawing/2014/chart" uri="{C3380CC4-5D6E-409C-BE32-E72D297353CC}">
                        <c16:uniqueId val="{0000002E-10C5-4E92-B8BD-F6110D9E1A79}"/>
                      </c:ext>
                    </c:extLst>
                  </c15:dLbl>
                </c15:categoryFilterException>
                <c15:categoryFilterException>
                  <c15:sqref>'6.1'!$D$76</c15:sqref>
                  <c15:dLbl>
                    <c:idx val="-1"/>
                    <c:delete val="1"/>
                    <c:extLst>
                      <c:ext uri="{CE6537A1-D6FC-4f65-9D91-7224C49458BB}"/>
                      <c:ext xmlns:c16="http://schemas.microsoft.com/office/drawing/2014/chart" uri="{C3380CC4-5D6E-409C-BE32-E72D297353CC}">
                        <c16:uniqueId val="{0000002F-10C5-4E92-B8BD-F6110D9E1A79}"/>
                      </c:ext>
                    </c:extLst>
                  </c15:dLbl>
                </c15:categoryFilterException>
                <c15:categoryFilterException>
                  <c15:sqref>'6.1'!$D$77</c15:sqref>
                  <c15:dLbl>
                    <c:idx val="-1"/>
                    <c:delete val="1"/>
                    <c:extLst>
                      <c:ext uri="{CE6537A1-D6FC-4f65-9D91-7224C49458BB}"/>
                      <c:ext xmlns:c16="http://schemas.microsoft.com/office/drawing/2014/chart" uri="{C3380CC4-5D6E-409C-BE32-E72D297353CC}">
                        <c16:uniqueId val="{00000030-10C5-4E92-B8BD-F6110D9E1A79}"/>
                      </c:ext>
                    </c:extLst>
                  </c15:dLbl>
                </c15:categoryFilterException>
                <c15:categoryFilterException>
                  <c15:sqref>'6.1'!$D$78</c15:sqref>
                  <c15:dLbl>
                    <c:idx val="-1"/>
                    <c:delete val="1"/>
                    <c:extLst>
                      <c:ext uri="{CE6537A1-D6FC-4f65-9D91-7224C49458BB}"/>
                      <c:ext xmlns:c16="http://schemas.microsoft.com/office/drawing/2014/chart" uri="{C3380CC4-5D6E-409C-BE32-E72D297353CC}">
                        <c16:uniqueId val="{00000031-10C5-4E92-B8BD-F6110D9E1A79}"/>
                      </c:ext>
                    </c:extLst>
                  </c15:dLbl>
                </c15:categoryFilterException>
                <c15:categoryFilterException>
                  <c15:sqref>'6.1'!$D$79</c15:sqref>
                  <c15:dLbl>
                    <c:idx val="-1"/>
                    <c:delete val="1"/>
                    <c:extLst>
                      <c:ext uri="{CE6537A1-D6FC-4f65-9D91-7224C49458BB}"/>
                      <c:ext xmlns:c16="http://schemas.microsoft.com/office/drawing/2014/chart" uri="{C3380CC4-5D6E-409C-BE32-E72D297353CC}">
                        <c16:uniqueId val="{00000032-10C5-4E92-B8BD-F6110D9E1A79}"/>
                      </c:ext>
                    </c:extLst>
                  </c15:dLbl>
                </c15:categoryFilterException>
                <c15:categoryFilterException>
                  <c15:sqref>'6.1'!$D$80</c15:sqref>
                  <c15:dLbl>
                    <c:idx val="-1"/>
                    <c:delete val="1"/>
                    <c:extLst>
                      <c:ext uri="{CE6537A1-D6FC-4f65-9D91-7224C49458BB}"/>
                      <c:ext xmlns:c16="http://schemas.microsoft.com/office/drawing/2014/chart" uri="{C3380CC4-5D6E-409C-BE32-E72D297353CC}">
                        <c16:uniqueId val="{00000033-10C5-4E92-B8BD-F6110D9E1A79}"/>
                      </c:ext>
                    </c:extLst>
                  </c15:dLbl>
                </c15:categoryFilterException>
                <c15:categoryFilterException>
                  <c15:sqref>'6.1'!$D$81</c15:sqref>
                  <c15:dLbl>
                    <c:idx val="-1"/>
                    <c:delete val="1"/>
                    <c:extLst>
                      <c:ext uri="{CE6537A1-D6FC-4f65-9D91-7224C49458BB}"/>
                      <c:ext xmlns:c16="http://schemas.microsoft.com/office/drawing/2014/chart" uri="{C3380CC4-5D6E-409C-BE32-E72D297353CC}">
                        <c16:uniqueId val="{00000034-10C5-4E92-B8BD-F6110D9E1A79}"/>
                      </c:ext>
                    </c:extLst>
                  </c15:dLbl>
                </c15:categoryFilterException>
                <c15:categoryFilterException>
                  <c15:sqref>'6.1'!$D$82</c15:sqref>
                  <c15:dLbl>
                    <c:idx val="-1"/>
                    <c:delete val="1"/>
                    <c:extLst>
                      <c:ext uri="{CE6537A1-D6FC-4f65-9D91-7224C49458BB}"/>
                      <c:ext xmlns:c16="http://schemas.microsoft.com/office/drawing/2014/chart" uri="{C3380CC4-5D6E-409C-BE32-E72D297353CC}">
                        <c16:uniqueId val="{00000035-10C5-4E92-B8BD-F6110D9E1A79}"/>
                      </c:ext>
                    </c:extLst>
                  </c15:dLbl>
                </c15:categoryFilterException>
                <c15:categoryFilterException>
                  <c15:sqref>'6.1'!$D$83</c15:sqref>
                  <c15:dLbl>
                    <c:idx val="-1"/>
                    <c:delete val="1"/>
                    <c:extLst>
                      <c:ext uri="{CE6537A1-D6FC-4f65-9D91-7224C49458BB}"/>
                      <c:ext xmlns:c16="http://schemas.microsoft.com/office/drawing/2014/chart" uri="{C3380CC4-5D6E-409C-BE32-E72D297353CC}">
                        <c16:uniqueId val="{00000036-10C5-4E92-B8BD-F6110D9E1A79}"/>
                      </c:ext>
                    </c:extLst>
                  </c15:dLbl>
                </c15:categoryFilterException>
                <c15:categoryFilterException>
                  <c15:sqref>'6.1'!$D$84</c15:sqref>
                  <c15:dLbl>
                    <c:idx val="-1"/>
                    <c:delete val="1"/>
                    <c:extLst>
                      <c:ext uri="{CE6537A1-D6FC-4f65-9D91-7224C49458BB}"/>
                      <c:ext xmlns:c16="http://schemas.microsoft.com/office/drawing/2014/chart" uri="{C3380CC4-5D6E-409C-BE32-E72D297353CC}">
                        <c16:uniqueId val="{00000037-10C5-4E92-B8BD-F6110D9E1A79}"/>
                      </c:ext>
                    </c:extLst>
                  </c15:dLbl>
                </c15:categoryFilterException>
                <c15:categoryFilterException>
                  <c15:sqref>'6.1'!$D$85</c15:sqref>
                  <c15:dLbl>
                    <c:idx val="-1"/>
                    <c:delete val="1"/>
                    <c:extLst>
                      <c:ext uri="{CE6537A1-D6FC-4f65-9D91-7224C49458BB}"/>
                      <c:ext xmlns:c16="http://schemas.microsoft.com/office/drawing/2014/chart" uri="{C3380CC4-5D6E-409C-BE32-E72D297353CC}">
                        <c16:uniqueId val="{00000038-10C5-4E92-B8BD-F6110D9E1A79}"/>
                      </c:ext>
                    </c:extLst>
                  </c15:dLbl>
                </c15:categoryFilterException>
                <c15:categoryFilterException>
                  <c15:sqref>'6.1'!$D$86</c15:sqref>
                  <c15:dLbl>
                    <c:idx val="-1"/>
                    <c:delete val="1"/>
                    <c:extLst>
                      <c:ext uri="{CE6537A1-D6FC-4f65-9D91-7224C49458BB}"/>
                      <c:ext xmlns:c16="http://schemas.microsoft.com/office/drawing/2014/chart" uri="{C3380CC4-5D6E-409C-BE32-E72D297353CC}">
                        <c16:uniqueId val="{00000039-10C5-4E92-B8BD-F6110D9E1A79}"/>
                      </c:ext>
                    </c:extLst>
                  </c15:dLbl>
                </c15:categoryFilterException>
                <c15:categoryFilterException>
                  <c15:sqref>'6.1'!$D$87</c15:sqref>
                  <c15:dLbl>
                    <c:idx val="-1"/>
                    <c:delete val="1"/>
                    <c:extLst>
                      <c:ext uri="{CE6537A1-D6FC-4f65-9D91-7224C49458BB}"/>
                      <c:ext xmlns:c16="http://schemas.microsoft.com/office/drawing/2014/chart" uri="{C3380CC4-5D6E-409C-BE32-E72D297353CC}">
                        <c16:uniqueId val="{0000003A-10C5-4E92-B8BD-F6110D9E1A79}"/>
                      </c:ext>
                    </c:extLst>
                  </c15:dLbl>
                </c15:categoryFilterException>
                <c15:categoryFilterException>
                  <c15:sqref>'6.1'!$D$88</c15:sqref>
                  <c15:dLbl>
                    <c:idx val="-1"/>
                    <c:delete val="1"/>
                    <c:extLst>
                      <c:ext uri="{CE6537A1-D6FC-4f65-9D91-7224C49458BB}"/>
                      <c:ext xmlns:c16="http://schemas.microsoft.com/office/drawing/2014/chart" uri="{C3380CC4-5D6E-409C-BE32-E72D297353CC}">
                        <c16:uniqueId val="{0000003B-10C5-4E92-B8BD-F6110D9E1A79}"/>
                      </c:ext>
                    </c:extLst>
                  </c15:dLbl>
                </c15:categoryFilterException>
                <c15:categoryFilterException>
                  <c15:sqref>'6.1'!$D$89</c15:sqref>
                  <c15:dLbl>
                    <c:idx val="-1"/>
                    <c:delete val="1"/>
                    <c:extLst>
                      <c:ext uri="{CE6537A1-D6FC-4f65-9D91-7224C49458BB}"/>
                      <c:ext xmlns:c16="http://schemas.microsoft.com/office/drawing/2014/chart" uri="{C3380CC4-5D6E-409C-BE32-E72D297353CC}">
                        <c16:uniqueId val="{0000003C-10C5-4E92-B8BD-F6110D9E1A79}"/>
                      </c:ext>
                    </c:extLst>
                  </c15:dLbl>
                </c15:categoryFilterException>
                <c15:categoryFilterException>
                  <c15:sqref>'6.1'!$D$90</c15:sqref>
                  <c15:dLbl>
                    <c:idx val="-1"/>
                    <c:delete val="1"/>
                    <c:extLst>
                      <c:ext uri="{CE6537A1-D6FC-4f65-9D91-7224C49458BB}"/>
                      <c:ext xmlns:c16="http://schemas.microsoft.com/office/drawing/2014/chart" uri="{C3380CC4-5D6E-409C-BE32-E72D297353CC}">
                        <c16:uniqueId val="{0000003D-10C5-4E92-B8BD-F6110D9E1A79}"/>
                      </c:ext>
                    </c:extLst>
                  </c15:dLbl>
                </c15:categoryFilterException>
                <c15:categoryFilterException>
                  <c15:sqref>'6.1'!$D$91</c15:sqref>
                  <c15:dLbl>
                    <c:idx val="-1"/>
                    <c:delete val="1"/>
                    <c:extLst>
                      <c:ext uri="{CE6537A1-D6FC-4f65-9D91-7224C49458BB}"/>
                      <c:ext xmlns:c16="http://schemas.microsoft.com/office/drawing/2014/chart" uri="{C3380CC4-5D6E-409C-BE32-E72D297353CC}">
                        <c16:uniqueId val="{0000003E-10C5-4E92-B8BD-F6110D9E1A79}"/>
                      </c:ext>
                    </c:extLst>
                  </c15:dLbl>
                </c15:categoryFilterException>
                <c15:categoryFilterException>
                  <c15:sqref>'6.1'!$D$92</c15:sqref>
                  <c15:dLbl>
                    <c:idx val="-1"/>
                    <c:delete val="1"/>
                    <c:extLst>
                      <c:ext uri="{CE6537A1-D6FC-4f65-9D91-7224C49458BB}"/>
                      <c:ext xmlns:c16="http://schemas.microsoft.com/office/drawing/2014/chart" uri="{C3380CC4-5D6E-409C-BE32-E72D297353CC}">
                        <c16:uniqueId val="{0000003F-10C5-4E92-B8BD-F6110D9E1A79}"/>
                      </c:ext>
                    </c:extLst>
                  </c15:dLbl>
                </c15:categoryFilterException>
                <c15:categoryFilterException>
                  <c15:sqref>'6.1'!$D$93</c15:sqref>
                  <c15:dLbl>
                    <c:idx val="-1"/>
                    <c:delete val="1"/>
                    <c:extLst>
                      <c:ext uri="{CE6537A1-D6FC-4f65-9D91-7224C49458BB}"/>
                      <c:ext xmlns:c16="http://schemas.microsoft.com/office/drawing/2014/chart" uri="{C3380CC4-5D6E-409C-BE32-E72D297353CC}">
                        <c16:uniqueId val="{00000040-10C5-4E92-B8BD-F6110D9E1A79}"/>
                      </c:ext>
                    </c:extLst>
                  </c15:dLbl>
                </c15:categoryFilterException>
                <c15:categoryFilterException>
                  <c15:sqref>'6.1'!$D$94</c15:sqref>
                  <c15:dLbl>
                    <c:idx val="-1"/>
                    <c:delete val="1"/>
                    <c:extLst>
                      <c:ext uri="{CE6537A1-D6FC-4f65-9D91-7224C49458BB}"/>
                      <c:ext xmlns:c16="http://schemas.microsoft.com/office/drawing/2014/chart" uri="{C3380CC4-5D6E-409C-BE32-E72D297353CC}">
                        <c16:uniqueId val="{00000041-10C5-4E92-B8BD-F6110D9E1A79}"/>
                      </c:ext>
                    </c:extLst>
                  </c15:dLbl>
                </c15:categoryFilterException>
                <c15:categoryFilterException>
                  <c15:sqref>'6.1'!$D$95</c15:sqref>
                  <c15:dLbl>
                    <c:idx val="-1"/>
                    <c:delete val="1"/>
                    <c:extLst>
                      <c:ext uri="{CE6537A1-D6FC-4f65-9D91-7224C49458BB}"/>
                      <c:ext xmlns:c16="http://schemas.microsoft.com/office/drawing/2014/chart" uri="{C3380CC4-5D6E-409C-BE32-E72D297353CC}">
                        <c16:uniqueId val="{00000042-10C5-4E92-B8BD-F6110D9E1A79}"/>
                      </c:ext>
                    </c:extLst>
                  </c15:dLbl>
                </c15:categoryFilterException>
                <c15:categoryFilterException>
                  <c15:sqref>'6.1'!$D$96</c15:sqref>
                  <c15:dLbl>
                    <c:idx val="-1"/>
                    <c:delete val="1"/>
                    <c:extLst>
                      <c:ext uri="{CE6537A1-D6FC-4f65-9D91-7224C49458BB}"/>
                      <c:ext xmlns:c16="http://schemas.microsoft.com/office/drawing/2014/chart" uri="{C3380CC4-5D6E-409C-BE32-E72D297353CC}">
                        <c16:uniqueId val="{00000043-10C5-4E92-B8BD-F6110D9E1A79}"/>
                      </c:ext>
                    </c:extLst>
                  </c15:dLbl>
                </c15:categoryFilterException>
                <c15:categoryFilterException>
                  <c15:sqref>'6.1'!$D$97</c15:sqref>
                  <c15:dLbl>
                    <c:idx val="-1"/>
                    <c:delete val="1"/>
                    <c:extLst>
                      <c:ext uri="{CE6537A1-D6FC-4f65-9D91-7224C49458BB}"/>
                      <c:ext xmlns:c16="http://schemas.microsoft.com/office/drawing/2014/chart" uri="{C3380CC4-5D6E-409C-BE32-E72D297353CC}">
                        <c16:uniqueId val="{00000044-10C5-4E92-B8BD-F6110D9E1A79}"/>
                      </c:ext>
                    </c:extLst>
                  </c15:dLbl>
                </c15:categoryFilterException>
                <c15:categoryFilterException>
                  <c15:sqref>'6.1'!$D$98</c15:sqref>
                  <c15:dLbl>
                    <c:idx val="-1"/>
                    <c:delete val="1"/>
                    <c:extLst>
                      <c:ext uri="{CE6537A1-D6FC-4f65-9D91-7224C49458BB}"/>
                      <c:ext xmlns:c16="http://schemas.microsoft.com/office/drawing/2014/chart" uri="{C3380CC4-5D6E-409C-BE32-E72D297353CC}">
                        <c16:uniqueId val="{00000045-10C5-4E92-B8BD-F6110D9E1A79}"/>
                      </c:ext>
                    </c:extLst>
                  </c15:dLbl>
                </c15:categoryFilterException>
                <c15:categoryFilterException>
                  <c15:sqref>'6.1'!$D$99</c15:sqref>
                  <c15:dLbl>
                    <c:idx val="-1"/>
                    <c:delete val="1"/>
                    <c:extLst>
                      <c:ext uri="{CE6537A1-D6FC-4f65-9D91-7224C49458BB}"/>
                      <c:ext xmlns:c16="http://schemas.microsoft.com/office/drawing/2014/chart" uri="{C3380CC4-5D6E-409C-BE32-E72D297353CC}">
                        <c16:uniqueId val="{00000046-10C5-4E92-B8BD-F6110D9E1A79}"/>
                      </c:ext>
                    </c:extLst>
                  </c15:dLbl>
                </c15:categoryFilterException>
                <c15:categoryFilterException>
                  <c15:sqref>'6.1'!$D$100</c15:sqref>
                  <c15:dLbl>
                    <c:idx val="-1"/>
                    <c:delete val="1"/>
                    <c:extLst>
                      <c:ext uri="{CE6537A1-D6FC-4f65-9D91-7224C49458BB}"/>
                      <c:ext xmlns:c16="http://schemas.microsoft.com/office/drawing/2014/chart" uri="{C3380CC4-5D6E-409C-BE32-E72D297353CC}">
                        <c16:uniqueId val="{00000047-10C5-4E92-B8BD-F6110D9E1A79}"/>
                      </c:ext>
                    </c:extLst>
                  </c15:dLbl>
                </c15:categoryFilterException>
              </c15:categoryFilterExceptions>
            </c:ext>
            <c:ext xmlns:c16="http://schemas.microsoft.com/office/drawing/2014/chart" uri="{C3380CC4-5D6E-409C-BE32-E72D297353CC}">
              <c16:uniqueId val="{0000008D-671E-48EB-9C93-9A03351AE2D8}"/>
            </c:ext>
          </c:extLst>
        </c:ser>
        <c:ser>
          <c:idx val="2"/>
          <c:order val="2"/>
          <c:tx>
            <c:strRef>
              <c:f>'6.1'!$E$3</c:f>
              <c:strCache>
                <c:ptCount val="1"/>
                <c:pt idx="0">
                  <c:v>Average Deposit Rate 
12 Months</c:v>
                </c:pt>
              </c:strCache>
            </c:strRef>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A6-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A7-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A8-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A9-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AA-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AB-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AC-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AD-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AE-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AF-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B0-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B1-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B2-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B3-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B4-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B5-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B6-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B7-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B8-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B9-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BA-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BB-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BC-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BD-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BE-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BF-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C0-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C1-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C2-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C3-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C4-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C5-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C6-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C7-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C8-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C9-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CA-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CB-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CC-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CD-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CE-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CF-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D0-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D1-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D2-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D3-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2-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0-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0-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2-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2-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2-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0-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1-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1-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0-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0-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2-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1-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9-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2-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1-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3-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6-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8-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7-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2-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0-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1-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2-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0-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1-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1-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0-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2-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0-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1-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2-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A-A4C6-4B31-BDDC-A2377402BBDE}"/>
                </c:ext>
              </c:extLst>
            </c:dLbl>
            <c:spPr>
              <a:noFill/>
              <a:ln>
                <a:noFill/>
              </a:ln>
              <a:effectLst/>
            </c:spPr>
            <c:txPr>
              <a:bodyPr wrap="square" lIns="38100" tIns="19050" rIns="38100" bIns="19050" anchor="ctr">
                <a:spAutoFit/>
              </a:bodyPr>
              <a:lstStyle/>
              <a:p>
                <a:pPr>
                  <a:defRPr sz="1100" b="1" baseline="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'6.1'!$A$29:$B$180</c15:sqref>
                  </c15:fullRef>
                </c:ext>
              </c:extLst>
              <c:f>'6.1'!$A$101:$B$180</c:f>
              <c:multiLvlStrCache>
                <c:ptCount val="8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'6.1'!$E$29:$E$180</c15:sqref>
                  </c15:fullRef>
                </c:ext>
              </c:extLst>
              <c:f>'6.1'!$E$101:$E$180</c:f>
              <c:numCache>
                <c:formatCode>#,##0.000</c:formatCode>
                <c:ptCount val="80"/>
                <c:pt idx="0" formatCode="0.000">
                  <c:v>0.77600000000000002</c:v>
                </c:pt>
                <c:pt idx="1" formatCode="0.000">
                  <c:v>0.79700000000000004</c:v>
                </c:pt>
                <c:pt idx="2" formatCode="0.000">
                  <c:v>0.79700000000000004</c:v>
                </c:pt>
                <c:pt idx="3" formatCode="0.000">
                  <c:v>0.80700000000000005</c:v>
                </c:pt>
                <c:pt idx="4" formatCode="0.000">
                  <c:v>0.80900000000000005</c:v>
                </c:pt>
                <c:pt idx="5" formatCode="0.000">
                  <c:v>0.81200000000000006</c:v>
                </c:pt>
                <c:pt idx="6" formatCode="0.000">
                  <c:v>0.81299999999999994</c:v>
                </c:pt>
                <c:pt idx="7" formatCode="0.000">
                  <c:v>0.81299999999999994</c:v>
                </c:pt>
                <c:pt idx="8" formatCode="0.000">
                  <c:v>0.80500000000000005</c:v>
                </c:pt>
                <c:pt idx="9" formatCode="0.000">
                  <c:v>0.80500000000000005</c:v>
                </c:pt>
                <c:pt idx="10" formatCode="0.000">
                  <c:v>0.80300000000000005</c:v>
                </c:pt>
                <c:pt idx="11" formatCode="0.000">
                  <c:v>0.79800000000000004</c:v>
                </c:pt>
                <c:pt idx="12" formatCode="0.000">
                  <c:v>0.79500000000000004</c:v>
                </c:pt>
                <c:pt idx="13" formatCode="0.000">
                  <c:v>0.78100000000000003</c:v>
                </c:pt>
                <c:pt idx="14" formatCode="0.000">
                  <c:v>0.77100000000000002</c:v>
                </c:pt>
                <c:pt idx="15" formatCode="0.000">
                  <c:v>0.62</c:v>
                </c:pt>
                <c:pt idx="16" formatCode="0.000">
                  <c:v>0.51</c:v>
                </c:pt>
                <c:pt idx="17" formatCode="0.000">
                  <c:v>0.47199999999999998</c:v>
                </c:pt>
                <c:pt idx="18" formatCode="0.000">
                  <c:v>0.40400000000000003</c:v>
                </c:pt>
                <c:pt idx="19" formatCode="0.000">
                  <c:v>0.41299999999999998</c:v>
                </c:pt>
                <c:pt idx="20" formatCode="0.000">
                  <c:v>0.313</c:v>
                </c:pt>
                <c:pt idx="21" formatCode="0.000">
                  <c:v>0.309</c:v>
                </c:pt>
                <c:pt idx="22" formatCode="0.000">
                  <c:v>0.30199999999999999</c:v>
                </c:pt>
                <c:pt idx="23" formatCode="0.000">
                  <c:v>0.29399999999999998</c:v>
                </c:pt>
                <c:pt idx="24" formatCode="0.000">
                  <c:v>0.28499999999999998</c:v>
                </c:pt>
                <c:pt idx="25" formatCode="0.000">
                  <c:v>0.27300000000000002</c:v>
                </c:pt>
                <c:pt idx="26" formatCode="0.000">
                  <c:v>0.25</c:v>
                </c:pt>
                <c:pt idx="27" formatCode="0.000">
                  <c:v>0.246</c:v>
                </c:pt>
                <c:pt idx="28" formatCode="0.000">
                  <c:v>0.24199999999999999</c:v>
                </c:pt>
                <c:pt idx="29" formatCode="0.000">
                  <c:v>0.24199999999999999</c:v>
                </c:pt>
                <c:pt idx="30" formatCode="0.000">
                  <c:v>0.222</c:v>
                </c:pt>
                <c:pt idx="31" formatCode="0.000">
                  <c:v>0.222</c:v>
                </c:pt>
                <c:pt idx="32" formatCode="0.000">
                  <c:v>0.2</c:v>
                </c:pt>
                <c:pt idx="33" formatCode="0.000">
                  <c:v>0.2</c:v>
                </c:pt>
                <c:pt idx="34" formatCode="0.000">
                  <c:v>0.2</c:v>
                </c:pt>
                <c:pt idx="35" formatCode="0.000">
                  <c:v>0.2</c:v>
                </c:pt>
                <c:pt idx="36" formatCode="0.000">
                  <c:v>0.2</c:v>
                </c:pt>
                <c:pt idx="37" formatCode="0.000">
                  <c:v>0.2</c:v>
                </c:pt>
                <c:pt idx="38" formatCode="0.000">
                  <c:v>0.2</c:v>
                </c:pt>
                <c:pt idx="39" formatCode="0.000">
                  <c:v>0.2</c:v>
                </c:pt>
                <c:pt idx="40" formatCode="0.000">
                  <c:v>0.2</c:v>
                </c:pt>
                <c:pt idx="41" formatCode="0.000">
                  <c:v>0.19400000000000001</c:v>
                </c:pt>
                <c:pt idx="42" formatCode="0.000">
                  <c:v>0.19400000000000001</c:v>
                </c:pt>
                <c:pt idx="43" formatCode="0.000">
                  <c:v>0.19400000000000001</c:v>
                </c:pt>
                <c:pt idx="44" formatCode="0.000">
                  <c:v>0.19400000000000001</c:v>
                </c:pt>
                <c:pt idx="45" formatCode="0.000">
                  <c:v>0.26200000000000001</c:v>
                </c:pt>
                <c:pt idx="46" formatCode="0.000">
                  <c:v>0.33100000000000002</c:v>
                </c:pt>
                <c:pt idx="47" formatCode="0.000">
                  <c:v>0.35</c:v>
                </c:pt>
                <c:pt idx="48" formatCode="0.000">
                  <c:v>0.46</c:v>
                </c:pt>
                <c:pt idx="49" formatCode="0.000">
                  <c:v>0.52900000000000003</c:v>
                </c:pt>
                <c:pt idx="50" formatCode="0.000">
                  <c:v>0.47599999999999998</c:v>
                </c:pt>
                <c:pt idx="51" formatCode="0.000">
                  <c:v>0.47899999999999998</c:v>
                </c:pt>
                <c:pt idx="52" formatCode="0.000">
                  <c:v>0.47950000000000004</c:v>
                </c:pt>
                <c:pt idx="53" formatCode="0.000">
                  <c:v>0.48099999999999998</c:v>
                </c:pt>
                <c:pt idx="54" formatCode="0.000">
                  <c:v>0.48399999999999999</c:v>
                </c:pt>
                <c:pt idx="55" formatCode="0.000">
                  <c:v>0.48899999999999999</c:v>
                </c:pt>
                <c:pt idx="56" formatCode="0.000">
                  <c:v>0.497</c:v>
                </c:pt>
                <c:pt idx="57" formatCode="0.000">
                  <c:v>0.53400000000000003</c:v>
                </c:pt>
                <c:pt idx="58" formatCode="0.000">
                  <c:v>0.54800000000000004</c:v>
                </c:pt>
                <c:pt idx="59" formatCode="0.000">
                  <c:v>0.56799999999999995</c:v>
                </c:pt>
                <c:pt idx="60" formatCode="0.000">
                  <c:v>0.57999999999999996</c:v>
                </c:pt>
                <c:pt idx="61" formatCode="0.000">
                  <c:v>0.59399999999999997</c:v>
                </c:pt>
                <c:pt idx="62" formatCode="0.000">
                  <c:v>0.628</c:v>
                </c:pt>
                <c:pt idx="63" formatCode="0.000">
                  <c:v>0.65</c:v>
                </c:pt>
                <c:pt idx="64" formatCode="0.000">
                  <c:v>0.67300000000000004</c:v>
                </c:pt>
                <c:pt idx="65" formatCode="0.000">
                  <c:v>0.67800000000000005</c:v>
                </c:pt>
                <c:pt idx="66" formatCode="0.000">
                  <c:v>0.68500000000000005</c:v>
                </c:pt>
                <c:pt idx="67" formatCode="0.000">
                  <c:v>0.69</c:v>
                </c:pt>
                <c:pt idx="68" formatCode="0.000">
                  <c:v>0.69</c:v>
                </c:pt>
                <c:pt idx="69" formatCode="0.000">
                  <c:v>0.68400000000000005</c:v>
                </c:pt>
                <c:pt idx="70" formatCode="0.000">
                  <c:v>0.68200000000000005</c:v>
                </c:pt>
                <c:pt idx="71" formatCode="0.000">
                  <c:v>0.67600000000000005</c:v>
                </c:pt>
                <c:pt idx="72" formatCode="0.000">
                  <c:v>0.67100000000000004</c:v>
                </c:pt>
                <c:pt idx="73" formatCode="0.000">
                  <c:v>0.66600000000000004</c:v>
                </c:pt>
                <c:pt idx="74" formatCode="0.000">
                  <c:v>0.64500000000000002</c:v>
                </c:pt>
                <c:pt idx="75" formatCode="0.000">
                  <c:v>0.629</c:v>
                </c:pt>
                <c:pt idx="76" formatCode="0.000">
                  <c:v>0.59699999999999998</c:v>
                </c:pt>
                <c:pt idx="77" formatCode="0.000">
                  <c:v>0.58799999999999997</c:v>
                </c:pt>
                <c:pt idx="78" formatCode="0.000">
                  <c:v>0.56899999999999995</c:v>
                </c:pt>
                <c:pt idx="79" formatCode="0.000">
                  <c:v>0.54600000000000004</c:v>
                </c:pt>
              </c:numCache>
            </c:numRef>
          </c:val>
          <c:smooth val="0"/>
          <c:extLst>
            <c:ext xmlns:c15="http://schemas.microsoft.com/office/drawing/2012/chart" uri="{02D57815-91ED-43cb-92C2-25804820EDAC}">
              <c15:categoryFilterExceptions>
                <c15:categoryFilterException>
                  <c15:sqref>'6.1'!$E$53</c15:sqref>
                  <c15:dLbl>
                    <c:idx val="-1"/>
                    <c:delete val="1"/>
                    <c:extLst>
                      <c:ext uri="{CE6537A1-D6FC-4f65-9D91-7224C49458BB}"/>
                      <c:ext xmlns:c16="http://schemas.microsoft.com/office/drawing/2014/chart" uri="{C3380CC4-5D6E-409C-BE32-E72D297353CC}">
                        <c16:uniqueId val="{00000048-10C5-4E92-B8BD-F6110D9E1A79}"/>
                      </c:ext>
                    </c:extLst>
                  </c15:dLbl>
                </c15:categoryFilterException>
                <c15:categoryFilterException>
                  <c15:sqref>'6.1'!$E$54</c15:sqref>
                  <c15:dLbl>
                    <c:idx val="-1"/>
                    <c:delete val="1"/>
                    <c:extLst>
                      <c:ext uri="{CE6537A1-D6FC-4f65-9D91-7224C49458BB}"/>
                      <c:ext xmlns:c16="http://schemas.microsoft.com/office/drawing/2014/chart" uri="{C3380CC4-5D6E-409C-BE32-E72D297353CC}">
                        <c16:uniqueId val="{00000049-10C5-4E92-B8BD-F6110D9E1A79}"/>
                      </c:ext>
                    </c:extLst>
                  </c15:dLbl>
                </c15:categoryFilterException>
                <c15:categoryFilterException>
                  <c15:sqref>'6.1'!$E$55</c15:sqref>
                  <c15:dLbl>
                    <c:idx val="-1"/>
                    <c:delete val="1"/>
                    <c:extLst>
                      <c:ext uri="{CE6537A1-D6FC-4f65-9D91-7224C49458BB}"/>
                      <c:ext xmlns:c16="http://schemas.microsoft.com/office/drawing/2014/chart" uri="{C3380CC4-5D6E-409C-BE32-E72D297353CC}">
                        <c16:uniqueId val="{0000004A-10C5-4E92-B8BD-F6110D9E1A79}"/>
                      </c:ext>
                    </c:extLst>
                  </c15:dLbl>
                </c15:categoryFilterException>
                <c15:categoryFilterException>
                  <c15:sqref>'6.1'!$E$56</c15:sqref>
                  <c15:dLbl>
                    <c:idx val="-1"/>
                    <c:delete val="1"/>
                    <c:extLst>
                      <c:ext uri="{CE6537A1-D6FC-4f65-9D91-7224C49458BB}"/>
                      <c:ext xmlns:c16="http://schemas.microsoft.com/office/drawing/2014/chart" uri="{C3380CC4-5D6E-409C-BE32-E72D297353CC}">
                        <c16:uniqueId val="{0000004B-10C5-4E92-B8BD-F6110D9E1A79}"/>
                      </c:ext>
                    </c:extLst>
                  </c15:dLbl>
                </c15:categoryFilterException>
                <c15:categoryFilterException>
                  <c15:sqref>'6.1'!$E$57</c15:sqref>
                  <c15:dLbl>
                    <c:idx val="-1"/>
                    <c:delete val="1"/>
                    <c:extLst>
                      <c:ext uri="{CE6537A1-D6FC-4f65-9D91-7224C49458BB}"/>
                      <c:ext xmlns:c16="http://schemas.microsoft.com/office/drawing/2014/chart" uri="{C3380CC4-5D6E-409C-BE32-E72D297353CC}">
                        <c16:uniqueId val="{0000004C-10C5-4E92-B8BD-F6110D9E1A79}"/>
                      </c:ext>
                    </c:extLst>
                  </c15:dLbl>
                </c15:categoryFilterException>
                <c15:categoryFilterException>
                  <c15:sqref>'6.1'!$E$58</c15:sqref>
                  <c15:dLbl>
                    <c:idx val="-1"/>
                    <c:delete val="1"/>
                    <c:extLst>
                      <c:ext uri="{CE6537A1-D6FC-4f65-9D91-7224C49458BB}"/>
                      <c:ext xmlns:c16="http://schemas.microsoft.com/office/drawing/2014/chart" uri="{C3380CC4-5D6E-409C-BE32-E72D297353CC}">
                        <c16:uniqueId val="{0000004D-10C5-4E92-B8BD-F6110D9E1A79}"/>
                      </c:ext>
                    </c:extLst>
                  </c15:dLbl>
                </c15:categoryFilterException>
                <c15:categoryFilterException>
                  <c15:sqref>'6.1'!$E$59</c15:sqref>
                  <c15:dLbl>
                    <c:idx val="-1"/>
                    <c:delete val="1"/>
                    <c:extLst>
                      <c:ext uri="{CE6537A1-D6FC-4f65-9D91-7224C49458BB}"/>
                      <c:ext xmlns:c16="http://schemas.microsoft.com/office/drawing/2014/chart" uri="{C3380CC4-5D6E-409C-BE32-E72D297353CC}">
                        <c16:uniqueId val="{0000004E-10C5-4E92-B8BD-F6110D9E1A79}"/>
                      </c:ext>
                    </c:extLst>
                  </c15:dLbl>
                </c15:categoryFilterException>
                <c15:categoryFilterException>
                  <c15:sqref>'6.1'!$E$60</c15:sqref>
                  <c15:dLbl>
                    <c:idx val="-1"/>
                    <c:delete val="1"/>
                    <c:extLst>
                      <c:ext uri="{CE6537A1-D6FC-4f65-9D91-7224C49458BB}"/>
                      <c:ext xmlns:c16="http://schemas.microsoft.com/office/drawing/2014/chart" uri="{C3380CC4-5D6E-409C-BE32-E72D297353CC}">
                        <c16:uniqueId val="{0000004F-10C5-4E92-B8BD-F6110D9E1A79}"/>
                      </c:ext>
                    </c:extLst>
                  </c15:dLbl>
                </c15:categoryFilterException>
                <c15:categoryFilterException>
                  <c15:sqref>'6.1'!$E$61</c15:sqref>
                  <c15:dLbl>
                    <c:idx val="-1"/>
                    <c:delete val="1"/>
                    <c:extLst>
                      <c:ext uri="{CE6537A1-D6FC-4f65-9D91-7224C49458BB}"/>
                      <c:ext xmlns:c16="http://schemas.microsoft.com/office/drawing/2014/chart" uri="{C3380CC4-5D6E-409C-BE32-E72D297353CC}">
                        <c16:uniqueId val="{00000050-10C5-4E92-B8BD-F6110D9E1A79}"/>
                      </c:ext>
                    </c:extLst>
                  </c15:dLbl>
                </c15:categoryFilterException>
                <c15:categoryFilterException>
                  <c15:sqref>'6.1'!$E$62</c15:sqref>
                  <c15:dLbl>
                    <c:idx val="-1"/>
                    <c:delete val="1"/>
                    <c:extLst>
                      <c:ext uri="{CE6537A1-D6FC-4f65-9D91-7224C49458BB}"/>
                      <c:ext xmlns:c16="http://schemas.microsoft.com/office/drawing/2014/chart" uri="{C3380CC4-5D6E-409C-BE32-E72D297353CC}">
                        <c16:uniqueId val="{00000051-10C5-4E92-B8BD-F6110D9E1A79}"/>
                      </c:ext>
                    </c:extLst>
                  </c15:dLbl>
                </c15:categoryFilterException>
                <c15:categoryFilterException>
                  <c15:sqref>'6.1'!$E$63</c15:sqref>
                  <c15:dLbl>
                    <c:idx val="-1"/>
                    <c:delete val="1"/>
                    <c:extLst>
                      <c:ext uri="{CE6537A1-D6FC-4f65-9D91-7224C49458BB}"/>
                      <c:ext xmlns:c16="http://schemas.microsoft.com/office/drawing/2014/chart" uri="{C3380CC4-5D6E-409C-BE32-E72D297353CC}">
                        <c16:uniqueId val="{00000052-10C5-4E92-B8BD-F6110D9E1A79}"/>
                      </c:ext>
                    </c:extLst>
                  </c15:dLbl>
                </c15:categoryFilterException>
                <c15:categoryFilterException>
                  <c15:sqref>'6.1'!$E$64</c15:sqref>
                  <c15:dLbl>
                    <c:idx val="-1"/>
                    <c:delete val="1"/>
                    <c:extLst>
                      <c:ext uri="{CE6537A1-D6FC-4f65-9D91-7224C49458BB}"/>
                      <c:ext xmlns:c16="http://schemas.microsoft.com/office/drawing/2014/chart" uri="{C3380CC4-5D6E-409C-BE32-E72D297353CC}">
                        <c16:uniqueId val="{00000053-10C5-4E92-B8BD-F6110D9E1A79}"/>
                      </c:ext>
                    </c:extLst>
                  </c15:dLbl>
                </c15:categoryFilterException>
                <c15:categoryFilterException>
                  <c15:sqref>'6.1'!$E$65</c15:sqref>
                  <c15:dLbl>
                    <c:idx val="-1"/>
                    <c:delete val="1"/>
                    <c:extLst>
                      <c:ext uri="{CE6537A1-D6FC-4f65-9D91-7224C49458BB}"/>
                      <c:ext xmlns:c16="http://schemas.microsoft.com/office/drawing/2014/chart" uri="{C3380CC4-5D6E-409C-BE32-E72D297353CC}">
                        <c16:uniqueId val="{00000054-10C5-4E92-B8BD-F6110D9E1A79}"/>
                      </c:ext>
                    </c:extLst>
                  </c15:dLbl>
                </c15:categoryFilterException>
                <c15:categoryFilterException>
                  <c15:sqref>'6.1'!$E$66</c15:sqref>
                  <c15:dLbl>
                    <c:idx val="-1"/>
                    <c:delete val="1"/>
                    <c:extLst>
                      <c:ext uri="{CE6537A1-D6FC-4f65-9D91-7224C49458BB}"/>
                      <c:ext xmlns:c16="http://schemas.microsoft.com/office/drawing/2014/chart" uri="{C3380CC4-5D6E-409C-BE32-E72D297353CC}">
                        <c16:uniqueId val="{00000055-10C5-4E92-B8BD-F6110D9E1A79}"/>
                      </c:ext>
                    </c:extLst>
                  </c15:dLbl>
                </c15:categoryFilterException>
                <c15:categoryFilterException>
                  <c15:sqref>'6.1'!$E$67</c15:sqref>
                  <c15:dLbl>
                    <c:idx val="-1"/>
                    <c:delete val="1"/>
                    <c:extLst>
                      <c:ext uri="{CE6537A1-D6FC-4f65-9D91-7224C49458BB}"/>
                      <c:ext xmlns:c16="http://schemas.microsoft.com/office/drawing/2014/chart" uri="{C3380CC4-5D6E-409C-BE32-E72D297353CC}">
                        <c16:uniqueId val="{00000056-10C5-4E92-B8BD-F6110D9E1A79}"/>
                      </c:ext>
                    </c:extLst>
                  </c15:dLbl>
                </c15:categoryFilterException>
                <c15:categoryFilterException>
                  <c15:sqref>'6.1'!$E$68</c15:sqref>
                  <c15:dLbl>
                    <c:idx val="-1"/>
                    <c:delete val="1"/>
                    <c:extLst>
                      <c:ext uri="{CE6537A1-D6FC-4f65-9D91-7224C49458BB}"/>
                      <c:ext xmlns:c16="http://schemas.microsoft.com/office/drawing/2014/chart" uri="{C3380CC4-5D6E-409C-BE32-E72D297353CC}">
                        <c16:uniqueId val="{00000057-10C5-4E92-B8BD-F6110D9E1A79}"/>
                      </c:ext>
                    </c:extLst>
                  </c15:dLbl>
                </c15:categoryFilterException>
                <c15:categoryFilterException>
                  <c15:sqref>'6.1'!$E$69</c15:sqref>
                  <c15:dLbl>
                    <c:idx val="-1"/>
                    <c:delete val="1"/>
                    <c:extLst>
                      <c:ext uri="{CE6537A1-D6FC-4f65-9D91-7224C49458BB}"/>
                      <c:ext xmlns:c16="http://schemas.microsoft.com/office/drawing/2014/chart" uri="{C3380CC4-5D6E-409C-BE32-E72D297353CC}">
                        <c16:uniqueId val="{00000058-10C5-4E92-B8BD-F6110D9E1A79}"/>
                      </c:ext>
                    </c:extLst>
                  </c15:dLbl>
                </c15:categoryFilterException>
                <c15:categoryFilterException>
                  <c15:sqref>'6.1'!$E$70</c15:sqref>
                  <c15:dLbl>
                    <c:idx val="-1"/>
                    <c:delete val="1"/>
                    <c:extLst>
                      <c:ext uri="{CE6537A1-D6FC-4f65-9D91-7224C49458BB}"/>
                      <c:ext xmlns:c16="http://schemas.microsoft.com/office/drawing/2014/chart" uri="{C3380CC4-5D6E-409C-BE32-E72D297353CC}">
                        <c16:uniqueId val="{00000059-10C5-4E92-B8BD-F6110D9E1A79}"/>
                      </c:ext>
                    </c:extLst>
                  </c15:dLbl>
                </c15:categoryFilterException>
                <c15:categoryFilterException>
                  <c15:sqref>'6.1'!$E$71</c15:sqref>
                  <c15:dLbl>
                    <c:idx val="-1"/>
                    <c:delete val="1"/>
                    <c:extLst>
                      <c:ext uri="{CE6537A1-D6FC-4f65-9D91-7224C49458BB}"/>
                      <c:ext xmlns:c16="http://schemas.microsoft.com/office/drawing/2014/chart" uri="{C3380CC4-5D6E-409C-BE32-E72D297353CC}">
                        <c16:uniqueId val="{0000005A-10C5-4E92-B8BD-F6110D9E1A79}"/>
                      </c:ext>
                    </c:extLst>
                  </c15:dLbl>
                </c15:categoryFilterException>
                <c15:categoryFilterException>
                  <c15:sqref>'6.1'!$E$72</c15:sqref>
                  <c15:dLbl>
                    <c:idx val="-1"/>
                    <c:delete val="1"/>
                    <c:extLst>
                      <c:ext uri="{CE6537A1-D6FC-4f65-9D91-7224C49458BB}"/>
                      <c:ext xmlns:c16="http://schemas.microsoft.com/office/drawing/2014/chart" uri="{C3380CC4-5D6E-409C-BE32-E72D297353CC}">
                        <c16:uniqueId val="{0000005B-10C5-4E92-B8BD-F6110D9E1A79}"/>
                      </c:ext>
                    </c:extLst>
                  </c15:dLbl>
                </c15:categoryFilterException>
                <c15:categoryFilterException>
                  <c15:sqref>'6.1'!$E$73</c15:sqref>
                  <c15:dLbl>
                    <c:idx val="-1"/>
                    <c:delete val="1"/>
                    <c:extLst>
                      <c:ext uri="{CE6537A1-D6FC-4f65-9D91-7224C49458BB}"/>
                      <c:ext xmlns:c16="http://schemas.microsoft.com/office/drawing/2014/chart" uri="{C3380CC4-5D6E-409C-BE32-E72D297353CC}">
                        <c16:uniqueId val="{0000005C-10C5-4E92-B8BD-F6110D9E1A79}"/>
                      </c:ext>
                    </c:extLst>
                  </c15:dLbl>
                </c15:categoryFilterException>
                <c15:categoryFilterException>
                  <c15:sqref>'6.1'!$E$74</c15:sqref>
                  <c15:dLbl>
                    <c:idx val="-1"/>
                    <c:delete val="1"/>
                    <c:extLst>
                      <c:ext uri="{CE6537A1-D6FC-4f65-9D91-7224C49458BB}"/>
                      <c:ext xmlns:c16="http://schemas.microsoft.com/office/drawing/2014/chart" uri="{C3380CC4-5D6E-409C-BE32-E72D297353CC}">
                        <c16:uniqueId val="{0000005D-10C5-4E92-B8BD-F6110D9E1A79}"/>
                      </c:ext>
                    </c:extLst>
                  </c15:dLbl>
                </c15:categoryFilterException>
                <c15:categoryFilterException>
                  <c15:sqref>'6.1'!$E$75</c15:sqref>
                  <c15:dLbl>
                    <c:idx val="-1"/>
                    <c:delete val="1"/>
                    <c:extLst>
                      <c:ext uri="{CE6537A1-D6FC-4f65-9D91-7224C49458BB}"/>
                      <c:ext xmlns:c16="http://schemas.microsoft.com/office/drawing/2014/chart" uri="{C3380CC4-5D6E-409C-BE32-E72D297353CC}">
                        <c16:uniqueId val="{0000005E-10C5-4E92-B8BD-F6110D9E1A79}"/>
                      </c:ext>
                    </c:extLst>
                  </c15:dLbl>
                </c15:categoryFilterException>
                <c15:categoryFilterException>
                  <c15:sqref>'6.1'!$E$76</c15:sqref>
                  <c15:dLbl>
                    <c:idx val="-1"/>
                    <c:delete val="1"/>
                    <c:extLst>
                      <c:ext uri="{CE6537A1-D6FC-4f65-9D91-7224C49458BB}"/>
                      <c:ext xmlns:c16="http://schemas.microsoft.com/office/drawing/2014/chart" uri="{C3380CC4-5D6E-409C-BE32-E72D297353CC}">
                        <c16:uniqueId val="{0000005F-10C5-4E92-B8BD-F6110D9E1A79}"/>
                      </c:ext>
                    </c:extLst>
                  </c15:dLbl>
                </c15:categoryFilterException>
                <c15:categoryFilterException>
                  <c15:sqref>'6.1'!$E$77</c15:sqref>
                  <c15:dLbl>
                    <c:idx val="-1"/>
                    <c:delete val="1"/>
                    <c:extLst>
                      <c:ext uri="{CE6537A1-D6FC-4f65-9D91-7224C49458BB}"/>
                      <c:ext xmlns:c16="http://schemas.microsoft.com/office/drawing/2014/chart" uri="{C3380CC4-5D6E-409C-BE32-E72D297353CC}">
                        <c16:uniqueId val="{00000060-10C5-4E92-B8BD-F6110D9E1A79}"/>
                      </c:ext>
                    </c:extLst>
                  </c15:dLbl>
                </c15:categoryFilterException>
                <c15:categoryFilterException>
                  <c15:sqref>'6.1'!$E$78</c15:sqref>
                  <c15:dLbl>
                    <c:idx val="-1"/>
                    <c:delete val="1"/>
                    <c:extLst>
                      <c:ext uri="{CE6537A1-D6FC-4f65-9D91-7224C49458BB}"/>
                      <c:ext xmlns:c16="http://schemas.microsoft.com/office/drawing/2014/chart" uri="{C3380CC4-5D6E-409C-BE32-E72D297353CC}">
                        <c16:uniqueId val="{00000061-10C5-4E92-B8BD-F6110D9E1A79}"/>
                      </c:ext>
                    </c:extLst>
                  </c15:dLbl>
                </c15:categoryFilterException>
                <c15:categoryFilterException>
                  <c15:sqref>'6.1'!$E$79</c15:sqref>
                  <c15:dLbl>
                    <c:idx val="-1"/>
                    <c:delete val="1"/>
                    <c:extLst>
                      <c:ext uri="{CE6537A1-D6FC-4f65-9D91-7224C49458BB}"/>
                      <c:ext xmlns:c16="http://schemas.microsoft.com/office/drawing/2014/chart" uri="{C3380CC4-5D6E-409C-BE32-E72D297353CC}">
                        <c16:uniqueId val="{00000062-10C5-4E92-B8BD-F6110D9E1A79}"/>
                      </c:ext>
                    </c:extLst>
                  </c15:dLbl>
                </c15:categoryFilterException>
                <c15:categoryFilterException>
                  <c15:sqref>'6.1'!$E$80</c15:sqref>
                  <c15:dLbl>
                    <c:idx val="-1"/>
                    <c:delete val="1"/>
                    <c:extLst>
                      <c:ext uri="{CE6537A1-D6FC-4f65-9D91-7224C49458BB}"/>
                      <c:ext xmlns:c16="http://schemas.microsoft.com/office/drawing/2014/chart" uri="{C3380CC4-5D6E-409C-BE32-E72D297353CC}">
                        <c16:uniqueId val="{00000063-10C5-4E92-B8BD-F6110D9E1A79}"/>
                      </c:ext>
                    </c:extLst>
                  </c15:dLbl>
                </c15:categoryFilterException>
                <c15:categoryFilterException>
                  <c15:sqref>'6.1'!$E$81</c15:sqref>
                  <c15:dLbl>
                    <c:idx val="-1"/>
                    <c:delete val="1"/>
                    <c:extLst>
                      <c:ext uri="{CE6537A1-D6FC-4f65-9D91-7224C49458BB}"/>
                      <c:ext xmlns:c16="http://schemas.microsoft.com/office/drawing/2014/chart" uri="{C3380CC4-5D6E-409C-BE32-E72D297353CC}">
                        <c16:uniqueId val="{00000064-10C5-4E92-B8BD-F6110D9E1A79}"/>
                      </c:ext>
                    </c:extLst>
                  </c15:dLbl>
                </c15:categoryFilterException>
                <c15:categoryFilterException>
                  <c15:sqref>'6.1'!$E$82</c15:sqref>
                  <c15:dLbl>
                    <c:idx val="-1"/>
                    <c:delete val="1"/>
                    <c:extLst>
                      <c:ext uri="{CE6537A1-D6FC-4f65-9D91-7224C49458BB}"/>
                      <c:ext xmlns:c16="http://schemas.microsoft.com/office/drawing/2014/chart" uri="{C3380CC4-5D6E-409C-BE32-E72D297353CC}">
                        <c16:uniqueId val="{00000065-10C5-4E92-B8BD-F6110D9E1A79}"/>
                      </c:ext>
                    </c:extLst>
                  </c15:dLbl>
                </c15:categoryFilterException>
                <c15:categoryFilterException>
                  <c15:sqref>'6.1'!$E$83</c15:sqref>
                  <c15:dLbl>
                    <c:idx val="-1"/>
                    <c:delete val="1"/>
                    <c:extLst>
                      <c:ext uri="{CE6537A1-D6FC-4f65-9D91-7224C49458BB}"/>
                      <c:ext xmlns:c16="http://schemas.microsoft.com/office/drawing/2014/chart" uri="{C3380CC4-5D6E-409C-BE32-E72D297353CC}">
                        <c16:uniqueId val="{00000066-10C5-4E92-B8BD-F6110D9E1A79}"/>
                      </c:ext>
                    </c:extLst>
                  </c15:dLbl>
                </c15:categoryFilterException>
                <c15:categoryFilterException>
                  <c15:sqref>'6.1'!$E$84</c15:sqref>
                  <c15:dLbl>
                    <c:idx val="-1"/>
                    <c:delete val="1"/>
                    <c:extLst>
                      <c:ext uri="{CE6537A1-D6FC-4f65-9D91-7224C49458BB}"/>
                      <c:ext xmlns:c16="http://schemas.microsoft.com/office/drawing/2014/chart" uri="{C3380CC4-5D6E-409C-BE32-E72D297353CC}">
                        <c16:uniqueId val="{00000067-10C5-4E92-B8BD-F6110D9E1A79}"/>
                      </c:ext>
                    </c:extLst>
                  </c15:dLbl>
                </c15:categoryFilterException>
                <c15:categoryFilterException>
                  <c15:sqref>'6.1'!$E$85</c15:sqref>
                  <c15:dLbl>
                    <c:idx val="-1"/>
                    <c:delete val="1"/>
                    <c:extLst>
                      <c:ext uri="{CE6537A1-D6FC-4f65-9D91-7224C49458BB}"/>
                      <c:ext xmlns:c16="http://schemas.microsoft.com/office/drawing/2014/chart" uri="{C3380CC4-5D6E-409C-BE32-E72D297353CC}">
                        <c16:uniqueId val="{00000068-10C5-4E92-B8BD-F6110D9E1A79}"/>
                      </c:ext>
                    </c:extLst>
                  </c15:dLbl>
                </c15:categoryFilterException>
                <c15:categoryFilterException>
                  <c15:sqref>'6.1'!$E$86</c15:sqref>
                  <c15:dLbl>
                    <c:idx val="-1"/>
                    <c:delete val="1"/>
                    <c:extLst>
                      <c:ext uri="{CE6537A1-D6FC-4f65-9D91-7224C49458BB}"/>
                      <c:ext xmlns:c16="http://schemas.microsoft.com/office/drawing/2014/chart" uri="{C3380CC4-5D6E-409C-BE32-E72D297353CC}">
                        <c16:uniqueId val="{00000069-10C5-4E92-B8BD-F6110D9E1A79}"/>
                      </c:ext>
                    </c:extLst>
                  </c15:dLbl>
                </c15:categoryFilterException>
                <c15:categoryFilterException>
                  <c15:sqref>'6.1'!$E$87</c15:sqref>
                  <c15:dLbl>
                    <c:idx val="-1"/>
                    <c:delete val="1"/>
                    <c:extLst>
                      <c:ext uri="{CE6537A1-D6FC-4f65-9D91-7224C49458BB}"/>
                      <c:ext xmlns:c16="http://schemas.microsoft.com/office/drawing/2014/chart" uri="{C3380CC4-5D6E-409C-BE32-E72D297353CC}">
                        <c16:uniqueId val="{0000006A-10C5-4E92-B8BD-F6110D9E1A79}"/>
                      </c:ext>
                    </c:extLst>
                  </c15:dLbl>
                </c15:categoryFilterException>
                <c15:categoryFilterException>
                  <c15:sqref>'6.1'!$E$88</c15:sqref>
                  <c15:dLbl>
                    <c:idx val="-1"/>
                    <c:delete val="1"/>
                    <c:extLst>
                      <c:ext uri="{CE6537A1-D6FC-4f65-9D91-7224C49458BB}"/>
                      <c:ext xmlns:c16="http://schemas.microsoft.com/office/drawing/2014/chart" uri="{C3380CC4-5D6E-409C-BE32-E72D297353CC}">
                        <c16:uniqueId val="{0000006B-10C5-4E92-B8BD-F6110D9E1A79}"/>
                      </c:ext>
                    </c:extLst>
                  </c15:dLbl>
                </c15:categoryFilterException>
                <c15:categoryFilterException>
                  <c15:sqref>'6.1'!$E$89</c15:sqref>
                  <c15:dLbl>
                    <c:idx val="-1"/>
                    <c:delete val="1"/>
                    <c:extLst>
                      <c:ext uri="{CE6537A1-D6FC-4f65-9D91-7224C49458BB}"/>
                      <c:ext xmlns:c16="http://schemas.microsoft.com/office/drawing/2014/chart" uri="{C3380CC4-5D6E-409C-BE32-E72D297353CC}">
                        <c16:uniqueId val="{0000006C-10C5-4E92-B8BD-F6110D9E1A79}"/>
                      </c:ext>
                    </c:extLst>
                  </c15:dLbl>
                </c15:categoryFilterException>
                <c15:categoryFilterException>
                  <c15:sqref>'6.1'!$E$90</c15:sqref>
                  <c15:dLbl>
                    <c:idx val="-1"/>
                    <c:delete val="1"/>
                    <c:extLst>
                      <c:ext uri="{CE6537A1-D6FC-4f65-9D91-7224C49458BB}"/>
                      <c:ext xmlns:c16="http://schemas.microsoft.com/office/drawing/2014/chart" uri="{C3380CC4-5D6E-409C-BE32-E72D297353CC}">
                        <c16:uniqueId val="{0000006D-10C5-4E92-B8BD-F6110D9E1A79}"/>
                      </c:ext>
                    </c:extLst>
                  </c15:dLbl>
                </c15:categoryFilterException>
                <c15:categoryFilterException>
                  <c15:sqref>'6.1'!$E$91</c15:sqref>
                  <c15:dLbl>
                    <c:idx val="-1"/>
                    <c:delete val="1"/>
                    <c:extLst>
                      <c:ext uri="{CE6537A1-D6FC-4f65-9D91-7224C49458BB}"/>
                      <c:ext xmlns:c16="http://schemas.microsoft.com/office/drawing/2014/chart" uri="{C3380CC4-5D6E-409C-BE32-E72D297353CC}">
                        <c16:uniqueId val="{0000006E-10C5-4E92-B8BD-F6110D9E1A79}"/>
                      </c:ext>
                    </c:extLst>
                  </c15:dLbl>
                </c15:categoryFilterException>
                <c15:categoryFilterException>
                  <c15:sqref>'6.1'!$E$92</c15:sqref>
                  <c15:dLbl>
                    <c:idx val="-1"/>
                    <c:delete val="1"/>
                    <c:extLst>
                      <c:ext uri="{CE6537A1-D6FC-4f65-9D91-7224C49458BB}"/>
                      <c:ext xmlns:c16="http://schemas.microsoft.com/office/drawing/2014/chart" uri="{C3380CC4-5D6E-409C-BE32-E72D297353CC}">
                        <c16:uniqueId val="{0000006F-10C5-4E92-B8BD-F6110D9E1A79}"/>
                      </c:ext>
                    </c:extLst>
                  </c15:dLbl>
                </c15:categoryFilterException>
                <c15:categoryFilterException>
                  <c15:sqref>'6.1'!$E$93</c15:sqref>
                  <c15:dLbl>
                    <c:idx val="-1"/>
                    <c:delete val="1"/>
                    <c:extLst>
                      <c:ext uri="{CE6537A1-D6FC-4f65-9D91-7224C49458BB}"/>
                      <c:ext xmlns:c16="http://schemas.microsoft.com/office/drawing/2014/chart" uri="{C3380CC4-5D6E-409C-BE32-E72D297353CC}">
                        <c16:uniqueId val="{00000070-10C5-4E92-B8BD-F6110D9E1A79}"/>
                      </c:ext>
                    </c:extLst>
                  </c15:dLbl>
                </c15:categoryFilterException>
                <c15:categoryFilterException>
                  <c15:sqref>'6.1'!$E$94</c15:sqref>
                  <c15:dLbl>
                    <c:idx val="-1"/>
                    <c:delete val="1"/>
                    <c:extLst>
                      <c:ext uri="{CE6537A1-D6FC-4f65-9D91-7224C49458BB}"/>
                      <c:ext xmlns:c16="http://schemas.microsoft.com/office/drawing/2014/chart" uri="{C3380CC4-5D6E-409C-BE32-E72D297353CC}">
                        <c16:uniqueId val="{00000071-10C5-4E92-B8BD-F6110D9E1A79}"/>
                      </c:ext>
                    </c:extLst>
                  </c15:dLbl>
                </c15:categoryFilterException>
                <c15:categoryFilterException>
                  <c15:sqref>'6.1'!$E$95</c15:sqref>
                  <c15:dLbl>
                    <c:idx val="-1"/>
                    <c:delete val="1"/>
                    <c:extLst>
                      <c:ext uri="{CE6537A1-D6FC-4f65-9D91-7224C49458BB}"/>
                      <c:ext xmlns:c16="http://schemas.microsoft.com/office/drawing/2014/chart" uri="{C3380CC4-5D6E-409C-BE32-E72D297353CC}">
                        <c16:uniqueId val="{00000072-10C5-4E92-B8BD-F6110D9E1A79}"/>
                      </c:ext>
                    </c:extLst>
                  </c15:dLbl>
                </c15:categoryFilterException>
                <c15:categoryFilterException>
                  <c15:sqref>'6.1'!$E$96</c15:sqref>
                  <c15:dLbl>
                    <c:idx val="-1"/>
                    <c:delete val="1"/>
                    <c:extLst>
                      <c:ext uri="{CE6537A1-D6FC-4f65-9D91-7224C49458BB}"/>
                      <c:ext xmlns:c16="http://schemas.microsoft.com/office/drawing/2014/chart" uri="{C3380CC4-5D6E-409C-BE32-E72D297353CC}">
                        <c16:uniqueId val="{00000073-10C5-4E92-B8BD-F6110D9E1A79}"/>
                      </c:ext>
                    </c:extLst>
                  </c15:dLbl>
                </c15:categoryFilterException>
                <c15:categoryFilterException>
                  <c15:sqref>'6.1'!$E$97</c15:sqref>
                  <c15:dLbl>
                    <c:idx val="-1"/>
                    <c:delete val="1"/>
                    <c:extLst>
                      <c:ext uri="{CE6537A1-D6FC-4f65-9D91-7224C49458BB}"/>
                      <c:ext xmlns:c16="http://schemas.microsoft.com/office/drawing/2014/chart" uri="{C3380CC4-5D6E-409C-BE32-E72D297353CC}">
                        <c16:uniqueId val="{00000074-10C5-4E92-B8BD-F6110D9E1A79}"/>
                      </c:ext>
                    </c:extLst>
                  </c15:dLbl>
                </c15:categoryFilterException>
                <c15:categoryFilterException>
                  <c15:sqref>'6.1'!$E$98</c15:sqref>
                  <c15:dLbl>
                    <c:idx val="-1"/>
                    <c:delete val="1"/>
                    <c:extLst>
                      <c:ext uri="{CE6537A1-D6FC-4f65-9D91-7224C49458BB}"/>
                      <c:ext xmlns:c16="http://schemas.microsoft.com/office/drawing/2014/chart" uri="{C3380CC4-5D6E-409C-BE32-E72D297353CC}">
                        <c16:uniqueId val="{00000075-10C5-4E92-B8BD-F6110D9E1A79}"/>
                      </c:ext>
                    </c:extLst>
                  </c15:dLbl>
                </c15:categoryFilterException>
                <c15:categoryFilterException>
                  <c15:sqref>'6.1'!$E$99</c15:sqref>
                  <c15:dLbl>
                    <c:idx val="-1"/>
                    <c:delete val="1"/>
                    <c:extLst>
                      <c:ext uri="{CE6537A1-D6FC-4f65-9D91-7224C49458BB}"/>
                      <c:ext xmlns:c16="http://schemas.microsoft.com/office/drawing/2014/chart" uri="{C3380CC4-5D6E-409C-BE32-E72D297353CC}">
                        <c16:uniqueId val="{00000076-10C5-4E92-B8BD-F6110D9E1A79}"/>
                      </c:ext>
                    </c:extLst>
                  </c15:dLbl>
                </c15:categoryFilterException>
                <c15:categoryFilterException>
                  <c15:sqref>'6.1'!$E$100</c15:sqref>
                  <c15:dLbl>
                    <c:idx val="-1"/>
                    <c:delete val="1"/>
                    <c:extLst>
                      <c:ext uri="{CE6537A1-D6FC-4f65-9D91-7224C49458BB}"/>
                      <c:ext xmlns:c16="http://schemas.microsoft.com/office/drawing/2014/chart" uri="{C3380CC4-5D6E-409C-BE32-E72D297353CC}">
                        <c16:uniqueId val="{00000077-10C5-4E92-B8BD-F6110D9E1A79}"/>
                      </c:ext>
                    </c:extLst>
                  </c15:dLbl>
                </c15:categoryFilterException>
              </c15:categoryFilterExceptions>
            </c:ext>
            <c:ext xmlns:c16="http://schemas.microsoft.com/office/drawing/2014/chart" uri="{C3380CC4-5D6E-409C-BE32-E72D297353CC}">
              <c16:uniqueId val="{000000D4-671E-48EB-9C93-9A03351AE2D8}"/>
            </c:ext>
          </c:extLst>
        </c:ser>
        <c:dLbls>
          <c:dLblPos val="t"/>
          <c:showLegendKey val="0"/>
          <c:showVal val="1"/>
          <c:showCatName val="0"/>
          <c:showSerName val="0"/>
          <c:showPercent val="0"/>
          <c:showBubbleSize val="0"/>
        </c:dLbls>
        <c:smooth val="0"/>
        <c:axId val="486519088"/>
        <c:axId val="486519480"/>
      </c:lineChart>
      <c:catAx>
        <c:axId val="486519088"/>
        <c:scaling>
          <c:orientation val="minMax"/>
        </c:scaling>
        <c:delete val="0"/>
        <c:axPos val="b"/>
        <c:numFmt formatCode="General" sourceLinked="0"/>
        <c:majorTickMark val="none"/>
        <c:minorTickMark val="none"/>
        <c:tickLblPos val="nextTo"/>
        <c:spPr>
          <a:ln w="12700"/>
        </c:spPr>
        <c:txPr>
          <a:bodyPr/>
          <a:lstStyle/>
          <a:p>
            <a:pPr>
              <a:defRPr sz="1000" b="0">
                <a:latin typeface="Geomanist" panose="02000503000000020004" pitchFamily="50" charset="0"/>
              </a:defRPr>
            </a:pPr>
            <a:endParaRPr lang="en-US"/>
          </a:p>
        </c:txPr>
        <c:crossAx val="486519480"/>
        <c:crosses val="autoZero"/>
        <c:auto val="1"/>
        <c:lblAlgn val="ctr"/>
        <c:lblOffset val="100"/>
        <c:tickLblSkip val="1"/>
        <c:noMultiLvlLbl val="0"/>
      </c:catAx>
      <c:valAx>
        <c:axId val="486519480"/>
        <c:scaling>
          <c:orientation val="minMax"/>
          <c:max val="0.9"/>
        </c:scaling>
        <c:delete val="0"/>
        <c:axPos val="l"/>
        <c:majorGridlines>
          <c:spPr>
            <a:ln>
              <a:solidFill>
                <a:schemeClr val="bg1">
                  <a:lumMod val="85000"/>
                </a:schemeClr>
              </a:solidFill>
            </a:ln>
          </c:spPr>
        </c:majorGridlines>
        <c:title>
          <c:tx>
            <c:rich>
              <a:bodyPr/>
              <a:lstStyle/>
              <a:p>
                <a:pPr>
                  <a:defRPr sz="1100" b="0">
                    <a:latin typeface="Geomanist" panose="02000503000000020004" pitchFamily="50" charset="0"/>
                  </a:defRPr>
                </a:pPr>
                <a:r>
                  <a:rPr lang="en-US" sz="1100" b="0">
                    <a:latin typeface="Geomanist" panose="02000503000000020004" pitchFamily="50" charset="0"/>
                  </a:rPr>
                  <a:t>Percent</a:t>
                </a:r>
              </a:p>
            </c:rich>
          </c:tx>
          <c:layout>
            <c:manualLayout>
              <c:xMode val="edge"/>
              <c:yMode val="edge"/>
              <c:x val="2.2178438921131908E-3"/>
              <c:y val="0.33782187740899738"/>
            </c:manualLayout>
          </c:layout>
          <c:overlay val="0"/>
        </c:title>
        <c:numFmt formatCode="#,##0.000" sourceLinked="1"/>
        <c:majorTickMark val="none"/>
        <c:minorTickMark val="none"/>
        <c:tickLblPos val="nextTo"/>
        <c:spPr>
          <a:ln w="12700">
            <a:solidFill>
              <a:schemeClr val="bg1">
                <a:lumMod val="50000"/>
              </a:schemeClr>
            </a:solidFill>
          </a:ln>
        </c:spPr>
        <c:txPr>
          <a:bodyPr/>
          <a:lstStyle/>
          <a:p>
            <a:pPr>
              <a:defRPr sz="1100" b="0">
                <a:latin typeface="Geomanist" panose="02000503000000020004" pitchFamily="50" charset="0"/>
              </a:defRPr>
            </a:pPr>
            <a:endParaRPr lang="en-US"/>
          </a:p>
        </c:txPr>
        <c:crossAx val="486519088"/>
        <c:crosses val="autoZero"/>
        <c:crossBetween val="between"/>
      </c:valAx>
      <c:spPr>
        <a:noFill/>
        <a:ln w="25400">
          <a:noFill/>
        </a:ln>
      </c:spPr>
    </c:plotArea>
    <c:legend>
      <c:legendPos val="b"/>
      <c:layout>
        <c:manualLayout>
          <c:xMode val="edge"/>
          <c:yMode val="edge"/>
          <c:x val="5.0479582223566223E-2"/>
          <c:y val="0.92067695141607186"/>
          <c:w val="0.9273717535677316"/>
          <c:h val="6.8435933069065674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Heuristica" panose="02020603050705020204" pitchFamily="18" charset="0"/>
              </a:defRPr>
            </a:pPr>
            <a:r>
              <a:rPr lang="en-US">
                <a:solidFill>
                  <a:srgbClr val="006E59"/>
                </a:solidFill>
                <a:latin typeface="Heuristica" panose="02020603050705020204" pitchFamily="18" charset="0"/>
              </a:rPr>
              <a:t>Chart 6.2: </a:t>
            </a:r>
            <a:r>
              <a:rPr lang="en-US">
                <a:solidFill>
                  <a:srgbClr val="D4C029"/>
                </a:solidFill>
                <a:latin typeface="Heuristica" panose="02020603050705020204" pitchFamily="18" charset="0"/>
              </a:rPr>
              <a:t>Exchange Rates: End of Period</a:t>
            </a:r>
          </a:p>
        </c:rich>
      </c:tx>
      <c:layout>
        <c:manualLayout>
          <c:xMode val="edge"/>
          <c:yMode val="edge"/>
          <c:x val="0.26744059851756069"/>
          <c:y val="1.7658315437842995E-2"/>
        </c:manualLayout>
      </c:layout>
      <c:overlay val="0"/>
    </c:title>
    <c:autoTitleDeleted val="0"/>
    <c:plotArea>
      <c:layout>
        <c:manualLayout>
          <c:layoutTarget val="inner"/>
          <c:xMode val="edge"/>
          <c:yMode val="edge"/>
          <c:x val="9.8180201814949089E-2"/>
          <c:y val="8.8768313051777625E-2"/>
          <c:w val="0.78932572515844734"/>
          <c:h val="0.73452384076990385"/>
        </c:manualLayout>
      </c:layout>
      <c:lineChart>
        <c:grouping val="standard"/>
        <c:varyColors val="0"/>
        <c:ser>
          <c:idx val="1"/>
          <c:order val="0"/>
          <c:tx>
            <c:v>GBP - Left Axis</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2-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0-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1-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3-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B5-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B4-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B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BA-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B9-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BC-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B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BD-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B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BF-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C1-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C0-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C3-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C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C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C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C7-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C6-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D2-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D1-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D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C8-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D3-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CF-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D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CD-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CE-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D5-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C9-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CC-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CB-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CA-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D7-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D6-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D8-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D9-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DA-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DC-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DB-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DF-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DD-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B1-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DE-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E0-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00-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01-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02-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03-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04-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05-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06-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07-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08-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09-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7-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0-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0-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0-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7-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0-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0-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7-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0-9C3D-4503-8C80-9DEE00A4B441}"/>
                </c:ext>
              </c:extLst>
            </c:dLbl>
            <c:dLbl>
              <c:idx val="68"/>
              <c:layout>
                <c:manualLayout>
                  <c:x val="-5.2785923753665691E-2"/>
                  <c:y val="-2.424242424242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3D-4503-8C80-9DEE00A4B441}"/>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6.2'!$A$150:$B$218</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 6.2'!$D$150:$D$218</c:f>
              <c:numCache>
                <c:formatCode>#,##0.000</c:formatCode>
                <c:ptCount val="69"/>
                <c:pt idx="0">
                  <c:v>1.8018000000000001</c:v>
                </c:pt>
                <c:pt idx="1">
                  <c:v>1.7855000000000001</c:v>
                </c:pt>
                <c:pt idx="2">
                  <c:v>1.7633000000000001</c:v>
                </c:pt>
                <c:pt idx="3">
                  <c:v>1.7770999999999999</c:v>
                </c:pt>
                <c:pt idx="4">
                  <c:v>1.7455000000000001</c:v>
                </c:pt>
                <c:pt idx="5">
                  <c:v>1.7282</c:v>
                </c:pt>
                <c:pt idx="6">
                  <c:v>1.7988</c:v>
                </c:pt>
                <c:pt idx="7">
                  <c:v>1.8186</c:v>
                </c:pt>
                <c:pt idx="8">
                  <c:v>1.7642</c:v>
                </c:pt>
                <c:pt idx="9">
                  <c:v>1.7699</c:v>
                </c:pt>
                <c:pt idx="10">
                  <c:v>1.7874000000000001</c:v>
                </c:pt>
                <c:pt idx="11">
                  <c:v>1.8061</c:v>
                </c:pt>
                <c:pt idx="12">
                  <c:v>1.8212999999999999</c:v>
                </c:pt>
                <c:pt idx="13">
                  <c:v>1.8559000000000001</c:v>
                </c:pt>
                <c:pt idx="14">
                  <c:v>1.8537999999999999</c:v>
                </c:pt>
                <c:pt idx="15">
                  <c:v>1.8381000000000001</c:v>
                </c:pt>
                <c:pt idx="16">
                  <c:v>1.8777999999999999</c:v>
                </c:pt>
                <c:pt idx="17">
                  <c:v>1.8608</c:v>
                </c:pt>
                <c:pt idx="18">
                  <c:v>1.8828</c:v>
                </c:pt>
                <c:pt idx="19">
                  <c:v>1.8498000000000001</c:v>
                </c:pt>
                <c:pt idx="20">
                  <c:v>1.8294999999999999</c:v>
                </c:pt>
                <c:pt idx="21">
                  <c:v>1.8460000000000001</c:v>
                </c:pt>
                <c:pt idx="22">
                  <c:v>1.8146</c:v>
                </c:pt>
                <c:pt idx="23">
                  <c:v>1.8243</c:v>
                </c:pt>
                <c:pt idx="24">
                  <c:v>1.8169999999999999</c:v>
                </c:pt>
                <c:pt idx="25">
                  <c:v>1.8178000000000001</c:v>
                </c:pt>
                <c:pt idx="26">
                  <c:v>1.7808999999999999</c:v>
                </c:pt>
                <c:pt idx="27">
                  <c:v>1.7392000000000001</c:v>
                </c:pt>
                <c:pt idx="28">
                  <c:v>1.7270000000000001</c:v>
                </c:pt>
                <c:pt idx="29">
                  <c:v>1.6920999999999999</c:v>
                </c:pt>
                <c:pt idx="30">
                  <c:v>1.6816</c:v>
                </c:pt>
                <c:pt idx="31">
                  <c:v>1.6240000000000001</c:v>
                </c:pt>
                <c:pt idx="32">
                  <c:v>1.6041000000000001</c:v>
                </c:pt>
                <c:pt idx="33">
                  <c:v>1.6240000000000001</c:v>
                </c:pt>
                <c:pt idx="34">
                  <c:v>1.6417999999999999</c:v>
                </c:pt>
                <c:pt idx="35">
                  <c:v>1.6220000000000001</c:v>
                </c:pt>
                <c:pt idx="36">
                  <c:v>1.6186</c:v>
                </c:pt>
                <c:pt idx="37">
                  <c:v>1.6211</c:v>
                </c:pt>
                <c:pt idx="38">
                  <c:v>1.6425000000000001</c:v>
                </c:pt>
                <c:pt idx="39">
                  <c:v>1.6777</c:v>
                </c:pt>
                <c:pt idx="40">
                  <c:v>1.6818</c:v>
                </c:pt>
                <c:pt idx="41">
                  <c:v>1.7166999999999999</c:v>
                </c:pt>
                <c:pt idx="42">
                  <c:v>1.7065999999999999</c:v>
                </c:pt>
                <c:pt idx="43">
                  <c:v>1.7124999999999999</c:v>
                </c:pt>
                <c:pt idx="44">
                  <c:v>1.6669</c:v>
                </c:pt>
                <c:pt idx="45">
                  <c:v>1.6645000000000001</c:v>
                </c:pt>
                <c:pt idx="46">
                  <c:v>1.6881999999999999</c:v>
                </c:pt>
                <c:pt idx="47">
                  <c:v>1.68</c:v>
                </c:pt>
                <c:pt idx="48">
                  <c:v>1.7007000000000001</c:v>
                </c:pt>
                <c:pt idx="49">
                  <c:v>1.6988000000000001</c:v>
                </c:pt>
                <c:pt idx="50">
                  <c:v>1.7034</c:v>
                </c:pt>
                <c:pt idx="51">
                  <c:v>1.7034</c:v>
                </c:pt>
                <c:pt idx="52">
                  <c:v>1.7218</c:v>
                </c:pt>
                <c:pt idx="53">
                  <c:v>1.7146999999999999</c:v>
                </c:pt>
                <c:pt idx="54">
                  <c:v>1.7146999999999999</c:v>
                </c:pt>
                <c:pt idx="55">
                  <c:v>1.7153</c:v>
                </c:pt>
                <c:pt idx="56">
                  <c:v>1.7190000000000001</c:v>
                </c:pt>
                <c:pt idx="57">
                  <c:v>1.7023999999999999</c:v>
                </c:pt>
                <c:pt idx="58">
                  <c:v>1.706</c:v>
                </c:pt>
                <c:pt idx="59">
                  <c:v>1.7085999999999999</c:v>
                </c:pt>
                <c:pt idx="60">
                  <c:v>1.6826000000000001</c:v>
                </c:pt>
                <c:pt idx="61">
                  <c:v>1.6999</c:v>
                </c:pt>
                <c:pt idx="62">
                  <c:v>1.7350000000000001</c:v>
                </c:pt>
                <c:pt idx="63">
                  <c:v>1.7416</c:v>
                </c:pt>
                <c:pt idx="64">
                  <c:v>1.7369000000000001</c:v>
                </c:pt>
                <c:pt idx="65">
                  <c:v>1.7463</c:v>
                </c:pt>
                <c:pt idx="66">
                  <c:v>1.7143999999999999</c:v>
                </c:pt>
                <c:pt idx="67">
                  <c:v>1.7338</c:v>
                </c:pt>
                <c:pt idx="68">
                  <c:v>1.7343</c:v>
                </c:pt>
              </c:numCache>
            </c:numRef>
          </c:val>
          <c:smooth val="0"/>
          <c:extLst>
            <c:ext xmlns:c16="http://schemas.microsoft.com/office/drawing/2014/chart" uri="{C3380CC4-5D6E-409C-BE32-E72D297353CC}">
              <c16:uniqueId val="{00000047-848D-440A-8D75-9BC56F2C29E3}"/>
            </c:ext>
          </c:extLst>
        </c:ser>
        <c:ser>
          <c:idx val="0"/>
          <c:order val="1"/>
          <c:tx>
            <c:v>USD - Left Axis</c:v>
          </c:tx>
          <c:spPr>
            <a:ln>
              <a:solidFill>
                <a:srgbClr val="EEE8B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A-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9-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05-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06-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07-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08-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09-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0A-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0B-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0C-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0D-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0E-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0F-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10-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11-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12-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13-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14-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15-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16-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17-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18-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19-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1A-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1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1C-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1D-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1E-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1F-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20-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21-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22-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23-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24-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25-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26-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27-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28-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29-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2A-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2B-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2C-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2D-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2E-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2F-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30-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31-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32-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33-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34-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35-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36-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37-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38-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39-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3A-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3B-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4-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3-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3-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D-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3-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6-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3-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3-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4-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6-9C3D-4503-8C80-9DEE00A4B441}"/>
                </c:ext>
              </c:extLst>
            </c:dLbl>
            <c:dLbl>
              <c:idx val="68"/>
              <c:layout>
                <c:manualLayout>
                  <c:x val="-4.6920821114369501E-2"/>
                  <c:y val="3.2323232323232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3D-4503-8C80-9DEE00A4B441}"/>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6.2'!$A$150:$B$218</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 6.2'!$C$150:$C$218</c:f>
              <c:numCache>
                <c:formatCode>#,##0.000</c:formatCode>
                <c:ptCount val="69"/>
                <c:pt idx="0">
                  <c:v>1.3648</c:v>
                </c:pt>
                <c:pt idx="1">
                  <c:v>1.3932</c:v>
                </c:pt>
                <c:pt idx="2">
                  <c:v>1.4219999999999999</c:v>
                </c:pt>
                <c:pt idx="3">
                  <c:v>1.4098999999999999</c:v>
                </c:pt>
                <c:pt idx="4">
                  <c:v>1.4135</c:v>
                </c:pt>
                <c:pt idx="5">
                  <c:v>1.3935999999999999</c:v>
                </c:pt>
                <c:pt idx="6">
                  <c:v>1.3745000000000001</c:v>
                </c:pt>
                <c:pt idx="7">
                  <c:v>1.3603000000000001</c:v>
                </c:pt>
                <c:pt idx="8">
                  <c:v>1.3653999999999999</c:v>
                </c:pt>
                <c:pt idx="9">
                  <c:v>1.3664000000000001</c:v>
                </c:pt>
                <c:pt idx="10">
                  <c:v>1.3416999999999999</c:v>
                </c:pt>
                <c:pt idx="11">
                  <c:v>1.3221000000000001</c:v>
                </c:pt>
                <c:pt idx="12">
                  <c:v>1.329</c:v>
                </c:pt>
                <c:pt idx="13">
                  <c:v>1.3326</c:v>
                </c:pt>
                <c:pt idx="14">
                  <c:v>1.3448</c:v>
                </c:pt>
                <c:pt idx="15">
                  <c:v>1.3308</c:v>
                </c:pt>
                <c:pt idx="16">
                  <c:v>1.3217000000000001</c:v>
                </c:pt>
                <c:pt idx="17">
                  <c:v>1.3453999999999999</c:v>
                </c:pt>
                <c:pt idx="18">
                  <c:v>1.3544</c:v>
                </c:pt>
                <c:pt idx="19">
                  <c:v>1.3449</c:v>
                </c:pt>
                <c:pt idx="20">
                  <c:v>1.3576999999999999</c:v>
                </c:pt>
                <c:pt idx="21">
                  <c:v>1.3488</c:v>
                </c:pt>
                <c:pt idx="22">
                  <c:v>1.365</c:v>
                </c:pt>
                <c:pt idx="23">
                  <c:v>1.349</c:v>
                </c:pt>
                <c:pt idx="24">
                  <c:v>1.3512999999999999</c:v>
                </c:pt>
                <c:pt idx="25">
                  <c:v>1.3549</c:v>
                </c:pt>
                <c:pt idx="26">
                  <c:v>1.3545</c:v>
                </c:pt>
                <c:pt idx="27">
                  <c:v>1.3834</c:v>
                </c:pt>
                <c:pt idx="28">
                  <c:v>1.3698999999999999</c:v>
                </c:pt>
                <c:pt idx="29">
                  <c:v>1.3905000000000001</c:v>
                </c:pt>
                <c:pt idx="30">
                  <c:v>1.3805000000000001</c:v>
                </c:pt>
                <c:pt idx="31">
                  <c:v>1.3971</c:v>
                </c:pt>
                <c:pt idx="32">
                  <c:v>1.4353</c:v>
                </c:pt>
                <c:pt idx="33">
                  <c:v>1.4165000000000001</c:v>
                </c:pt>
                <c:pt idx="34">
                  <c:v>1.3614999999999999</c:v>
                </c:pt>
                <c:pt idx="35">
                  <c:v>1.3394999999999999</c:v>
                </c:pt>
                <c:pt idx="36">
                  <c:v>1.3139000000000001</c:v>
                </c:pt>
                <c:pt idx="37">
                  <c:v>1.3484</c:v>
                </c:pt>
                <c:pt idx="38">
                  <c:v>1.3309</c:v>
                </c:pt>
                <c:pt idx="39">
                  <c:v>1.3344</c:v>
                </c:pt>
                <c:pt idx="40">
                  <c:v>1.3516999999999999</c:v>
                </c:pt>
                <c:pt idx="41">
                  <c:v>1.3524</c:v>
                </c:pt>
                <c:pt idx="42">
                  <c:v>1.3295999999999999</c:v>
                </c:pt>
                <c:pt idx="43">
                  <c:v>1.3512</c:v>
                </c:pt>
                <c:pt idx="44">
                  <c:v>1.3662000000000001</c:v>
                </c:pt>
                <c:pt idx="45">
                  <c:v>1.3696999999999999</c:v>
                </c:pt>
                <c:pt idx="46">
                  <c:v>1.3372999999999999</c:v>
                </c:pt>
                <c:pt idx="47">
                  <c:v>1.3203</c:v>
                </c:pt>
                <c:pt idx="48">
                  <c:v>1.3408</c:v>
                </c:pt>
                <c:pt idx="49">
                  <c:v>1.3456999999999999</c:v>
                </c:pt>
                <c:pt idx="50">
                  <c:v>1.3492999999999999</c:v>
                </c:pt>
                <c:pt idx="51">
                  <c:v>1.3654999999999999</c:v>
                </c:pt>
                <c:pt idx="52">
                  <c:v>1.3512</c:v>
                </c:pt>
                <c:pt idx="53">
                  <c:v>1.3560000000000001</c:v>
                </c:pt>
                <c:pt idx="54">
                  <c:v>1.3360000000000001</c:v>
                </c:pt>
                <c:pt idx="55">
                  <c:v>1.3067</c:v>
                </c:pt>
                <c:pt idx="56">
                  <c:v>1.2849999999999999</c:v>
                </c:pt>
                <c:pt idx="57">
                  <c:v>1.3198000000000001</c:v>
                </c:pt>
                <c:pt idx="58">
                  <c:v>1.34</c:v>
                </c:pt>
                <c:pt idx="59">
                  <c:v>1.3656999999999999</c:v>
                </c:pt>
                <c:pt idx="60">
                  <c:v>1.3568</c:v>
                </c:pt>
                <c:pt idx="61">
                  <c:v>1.3513999999999999</c:v>
                </c:pt>
                <c:pt idx="62">
                  <c:v>1.343</c:v>
                </c:pt>
                <c:pt idx="63">
                  <c:v>1.3063</c:v>
                </c:pt>
                <c:pt idx="64">
                  <c:v>1.2909999999999999</c:v>
                </c:pt>
                <c:pt idx="65">
                  <c:v>1.2716000000000001</c:v>
                </c:pt>
                <c:pt idx="66">
                  <c:v>1.2981</c:v>
                </c:pt>
                <c:pt idx="67">
                  <c:v>1.284</c:v>
                </c:pt>
                <c:pt idx="68">
                  <c:v>1.2901</c:v>
                </c:pt>
              </c:numCache>
            </c:numRef>
          </c:val>
          <c:smooth val="0"/>
          <c:extLst>
            <c:ext xmlns:c16="http://schemas.microsoft.com/office/drawing/2014/chart" uri="{C3380CC4-5D6E-409C-BE32-E72D297353CC}">
              <c16:uniqueId val="{0000008F-848D-440A-8D75-9BC56F2C29E3}"/>
            </c:ext>
          </c:extLst>
        </c:ser>
        <c:ser>
          <c:idx val="2"/>
          <c:order val="2"/>
          <c:tx>
            <c:v>AUD - Left Axis</c:v>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B-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E-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10-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D-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BF-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C0-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C2-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C1-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C3-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C4-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C6-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C5-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C7-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C9-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C8-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CA-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CB-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CC-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CD-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CE-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C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D0-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D1-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D3-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D2-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D5-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D4-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D6-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D8-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D7-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D9-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DB-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DA-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DC-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D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D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E1-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E0-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E2-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E3-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E4-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E6-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E5-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E7-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E9-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E8-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EA-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EC-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E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ED-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EE-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F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EF-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F0-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F3-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F2-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F4-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F6-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3-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5-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5-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3-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5-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2-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5-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5-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3-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D-9C3D-4503-8C80-9DEE00A4B441}"/>
                </c:ext>
              </c:extLst>
            </c:dLbl>
            <c:dLbl>
              <c:idx val="68"/>
              <c:layout>
                <c:manualLayout>
                  <c:x val="-5.4252199413489736E-2"/>
                  <c:y val="1.6161616161616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3D-4503-8C80-9DEE00A4B441}"/>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6.2'!$A$150:$B$218</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 6.2'!$E$150:$E$218</c:f>
              <c:numCache>
                <c:formatCode>#,##0.000</c:formatCode>
                <c:ptCount val="69"/>
                <c:pt idx="0">
                  <c:v>0.91279999999999994</c:v>
                </c:pt>
                <c:pt idx="1">
                  <c:v>0.90669999999999995</c:v>
                </c:pt>
                <c:pt idx="2">
                  <c:v>0.87270000000000003</c:v>
                </c:pt>
                <c:pt idx="3">
                  <c:v>0.91890000000000005</c:v>
                </c:pt>
                <c:pt idx="4">
                  <c:v>0.94140000000000001</c:v>
                </c:pt>
                <c:pt idx="5">
                  <c:v>0.96199999999999997</c:v>
                </c:pt>
                <c:pt idx="6">
                  <c:v>0.9819</c:v>
                </c:pt>
                <c:pt idx="7">
                  <c:v>1.0033000000000001</c:v>
                </c:pt>
                <c:pt idx="8">
                  <c:v>0.97789999999999999</c:v>
                </c:pt>
                <c:pt idx="9">
                  <c:v>0.96040000000000003</c:v>
                </c:pt>
                <c:pt idx="10">
                  <c:v>0.98529999999999995</c:v>
                </c:pt>
                <c:pt idx="11">
                  <c:v>1.0167999999999999</c:v>
                </c:pt>
                <c:pt idx="12">
                  <c:v>1.016</c:v>
                </c:pt>
                <c:pt idx="13">
                  <c:v>1.0268999999999999</c:v>
                </c:pt>
                <c:pt idx="14">
                  <c:v>1.0221</c:v>
                </c:pt>
                <c:pt idx="15">
                  <c:v>1.0264</c:v>
                </c:pt>
                <c:pt idx="16">
                  <c:v>1.0218</c:v>
                </c:pt>
                <c:pt idx="17">
                  <c:v>1.0088999999999999</c:v>
                </c:pt>
                <c:pt idx="18">
                  <c:v>0.99470000000000003</c:v>
                </c:pt>
                <c:pt idx="19">
                  <c:v>0.98370000000000002</c:v>
                </c:pt>
                <c:pt idx="20">
                  <c:v>0.98129999999999995</c:v>
                </c:pt>
                <c:pt idx="21">
                  <c:v>1.0142</c:v>
                </c:pt>
                <c:pt idx="22">
                  <c:v>0.97230000000000005</c:v>
                </c:pt>
                <c:pt idx="23">
                  <c:v>0.98</c:v>
                </c:pt>
                <c:pt idx="24">
                  <c:v>0.95520000000000005</c:v>
                </c:pt>
                <c:pt idx="25">
                  <c:v>0.98409999999999997</c:v>
                </c:pt>
                <c:pt idx="26">
                  <c:v>1.0141</c:v>
                </c:pt>
                <c:pt idx="27">
                  <c:v>0.97670000000000001</c:v>
                </c:pt>
                <c:pt idx="28">
                  <c:v>0.98350000000000004</c:v>
                </c:pt>
                <c:pt idx="29">
                  <c:v>0.95930000000000004</c:v>
                </c:pt>
                <c:pt idx="30">
                  <c:v>0.96519999999999995</c:v>
                </c:pt>
                <c:pt idx="31">
                  <c:v>0.95609999999999995</c:v>
                </c:pt>
                <c:pt idx="32">
                  <c:v>0.91949999999999998</c:v>
                </c:pt>
                <c:pt idx="33">
                  <c:v>0.90620000000000001</c:v>
                </c:pt>
                <c:pt idx="34">
                  <c:v>0.92420000000000002</c:v>
                </c:pt>
                <c:pt idx="35">
                  <c:v>0.91379999999999995</c:v>
                </c:pt>
                <c:pt idx="36">
                  <c:v>0.92689999999999995</c:v>
                </c:pt>
                <c:pt idx="37">
                  <c:v>0.90739999999999998</c:v>
                </c:pt>
                <c:pt idx="38">
                  <c:v>0.88980000000000004</c:v>
                </c:pt>
                <c:pt idx="39">
                  <c:v>0.88349999999999995</c:v>
                </c:pt>
                <c:pt idx="40">
                  <c:v>0.87919999999999998</c:v>
                </c:pt>
                <c:pt idx="41">
                  <c:v>0.90090000000000003</c:v>
                </c:pt>
                <c:pt idx="42">
                  <c:v>0.8931</c:v>
                </c:pt>
                <c:pt idx="43">
                  <c:v>0.87629999999999997</c:v>
                </c:pt>
                <c:pt idx="44">
                  <c:v>0.87909999999999999</c:v>
                </c:pt>
                <c:pt idx="45">
                  <c:v>0.86819999999999997</c:v>
                </c:pt>
                <c:pt idx="46">
                  <c:v>0.88329999999999997</c:v>
                </c:pt>
                <c:pt idx="47">
                  <c:v>0.89870000000000005</c:v>
                </c:pt>
                <c:pt idx="48">
                  <c:v>0.88029999999999997</c:v>
                </c:pt>
                <c:pt idx="49">
                  <c:v>0.87439999999999996</c:v>
                </c:pt>
                <c:pt idx="50">
                  <c:v>0.87970000000000004</c:v>
                </c:pt>
                <c:pt idx="51">
                  <c:v>0.88370000000000004</c:v>
                </c:pt>
                <c:pt idx="52">
                  <c:v>0.89890000000000003</c:v>
                </c:pt>
                <c:pt idx="53">
                  <c:v>0.90449999999999997</c:v>
                </c:pt>
                <c:pt idx="54">
                  <c:v>0.874</c:v>
                </c:pt>
                <c:pt idx="55">
                  <c:v>0.88449999999999995</c:v>
                </c:pt>
                <c:pt idx="56">
                  <c:v>0.88800000000000001</c:v>
                </c:pt>
                <c:pt idx="57">
                  <c:v>0.86870000000000003</c:v>
                </c:pt>
                <c:pt idx="58">
                  <c:v>0.872</c:v>
                </c:pt>
                <c:pt idx="59">
                  <c:v>0.84499999999999997</c:v>
                </c:pt>
                <c:pt idx="60">
                  <c:v>0.84279999999999999</c:v>
                </c:pt>
                <c:pt idx="61">
                  <c:v>0.83899999999999997</c:v>
                </c:pt>
                <c:pt idx="62">
                  <c:v>0.83899999999999997</c:v>
                </c:pt>
                <c:pt idx="63">
                  <c:v>0.83660000000000001</c:v>
                </c:pt>
                <c:pt idx="64">
                  <c:v>0.83030000000000004</c:v>
                </c:pt>
                <c:pt idx="65">
                  <c:v>0.83679999999999999</c:v>
                </c:pt>
                <c:pt idx="66">
                  <c:v>0.83399999999999996</c:v>
                </c:pt>
                <c:pt idx="67">
                  <c:v>0.8397</c:v>
                </c:pt>
                <c:pt idx="68">
                  <c:v>0.85319999999999996</c:v>
                </c:pt>
              </c:numCache>
            </c:numRef>
          </c:val>
          <c:smooth val="0"/>
          <c:extLst>
            <c:ext xmlns:c16="http://schemas.microsoft.com/office/drawing/2014/chart" uri="{C3380CC4-5D6E-409C-BE32-E72D297353CC}">
              <c16:uniqueId val="{000000D7-848D-440A-8D75-9BC56F2C29E3}"/>
            </c:ext>
          </c:extLst>
        </c:ser>
        <c:ser>
          <c:idx val="3"/>
          <c:order val="3"/>
          <c:tx>
            <c:v>EUR - Left Axis</c:v>
          </c:tx>
          <c:spPr>
            <a:ln>
              <a:solidFill>
                <a:srgbClr val="96CAC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E1-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5-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3-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E5-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E4-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E6-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E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E7-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EA-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E9-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E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EC-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E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ED-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EF-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F1-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F0-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F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F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F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F3-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F8-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F6-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F7-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3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31-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32-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33-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3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35-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36-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37-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38-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39-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3A-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3B-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3C-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3D-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3E-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3F-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40-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41-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42-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43-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44-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45-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46-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47-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D8-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D9-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DA-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DB-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DC-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DD-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DE-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DF-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E0-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E1-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6-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1-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2-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8-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2-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5-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1-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2-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6-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3-9C3D-4503-8C80-9DEE00A4B441}"/>
                </c:ext>
              </c:extLst>
            </c:dLbl>
            <c:dLbl>
              <c:idx val="68"/>
              <c:layout>
                <c:manualLayout>
                  <c:x val="-5.5718475073313782E-2"/>
                  <c:y val="-1.81818181818182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3D-4503-8C80-9DEE00A4B441}"/>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6.2'!$A$150:$B$218</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 6.2'!$F$150:$F$218</c:f>
              <c:numCache>
                <c:formatCode>#,##0.000</c:formatCode>
                <c:ptCount val="69"/>
                <c:pt idx="0">
                  <c:v>1.5136000000000001</c:v>
                </c:pt>
                <c:pt idx="1">
                  <c:v>1.5354000000000001</c:v>
                </c:pt>
                <c:pt idx="2">
                  <c:v>1.5698000000000001</c:v>
                </c:pt>
                <c:pt idx="3">
                  <c:v>1.5452999999999999</c:v>
                </c:pt>
                <c:pt idx="4">
                  <c:v>1.5693999999999999</c:v>
                </c:pt>
                <c:pt idx="5">
                  <c:v>1.5653999999999999</c:v>
                </c:pt>
                <c:pt idx="6">
                  <c:v>1.6191</c:v>
                </c:pt>
                <c:pt idx="7">
                  <c:v>1.6236999999999999</c:v>
                </c:pt>
                <c:pt idx="8">
                  <c:v>1.6003000000000001</c:v>
                </c:pt>
                <c:pt idx="9">
                  <c:v>1.5913999999999999</c:v>
                </c:pt>
                <c:pt idx="10">
                  <c:v>1.6003000000000001</c:v>
                </c:pt>
                <c:pt idx="11">
                  <c:v>1.6146</c:v>
                </c:pt>
                <c:pt idx="12">
                  <c:v>1.6127</c:v>
                </c:pt>
                <c:pt idx="13">
                  <c:v>1.6086</c:v>
                </c:pt>
                <c:pt idx="14">
                  <c:v>1.5774999999999999</c:v>
                </c:pt>
                <c:pt idx="15">
                  <c:v>1.5993999999999999</c:v>
                </c:pt>
                <c:pt idx="16">
                  <c:v>1.6153999999999999</c:v>
                </c:pt>
                <c:pt idx="17">
                  <c:v>1.5951</c:v>
                </c:pt>
                <c:pt idx="18">
                  <c:v>1.6073</c:v>
                </c:pt>
                <c:pt idx="19">
                  <c:v>1.5878999999999999</c:v>
                </c:pt>
                <c:pt idx="20">
                  <c:v>1.5718999999999999</c:v>
                </c:pt>
                <c:pt idx="21">
                  <c:v>1.5592999999999999</c:v>
                </c:pt>
                <c:pt idx="22">
                  <c:v>1.5468999999999999</c:v>
                </c:pt>
                <c:pt idx="23">
                  <c:v>1.5337000000000001</c:v>
                </c:pt>
                <c:pt idx="24">
                  <c:v>1.5181</c:v>
                </c:pt>
                <c:pt idx="25">
                  <c:v>1.5202</c:v>
                </c:pt>
                <c:pt idx="26">
                  <c:v>1.4997</c:v>
                </c:pt>
                <c:pt idx="27">
                  <c:v>1.4585999999999999</c:v>
                </c:pt>
                <c:pt idx="28">
                  <c:v>1.4708000000000001</c:v>
                </c:pt>
                <c:pt idx="29">
                  <c:v>1.4564999999999999</c:v>
                </c:pt>
                <c:pt idx="30">
                  <c:v>1.4117999999999999</c:v>
                </c:pt>
                <c:pt idx="31">
                  <c:v>1.4047000000000001</c:v>
                </c:pt>
                <c:pt idx="32">
                  <c:v>1.4078999999999999</c:v>
                </c:pt>
                <c:pt idx="33">
                  <c:v>1.3997999999999999</c:v>
                </c:pt>
                <c:pt idx="34">
                  <c:v>1.4171</c:v>
                </c:pt>
                <c:pt idx="35">
                  <c:v>1.4353</c:v>
                </c:pt>
                <c:pt idx="36">
                  <c:v>1.4272</c:v>
                </c:pt>
                <c:pt idx="37">
                  <c:v>1.4260999999999999</c:v>
                </c:pt>
                <c:pt idx="38">
                  <c:v>1.444</c:v>
                </c:pt>
                <c:pt idx="39">
                  <c:v>1.4705999999999999</c:v>
                </c:pt>
                <c:pt idx="40">
                  <c:v>1.4451000000000001</c:v>
                </c:pt>
                <c:pt idx="41">
                  <c:v>1.4754</c:v>
                </c:pt>
                <c:pt idx="42">
                  <c:v>1.4621999999999999</c:v>
                </c:pt>
                <c:pt idx="43">
                  <c:v>1.4653</c:v>
                </c:pt>
                <c:pt idx="44">
                  <c:v>1.4440999999999999</c:v>
                </c:pt>
                <c:pt idx="45">
                  <c:v>1.4484999999999999</c:v>
                </c:pt>
                <c:pt idx="46">
                  <c:v>1.4560999999999999</c:v>
                </c:pt>
                <c:pt idx="47">
                  <c:v>1.4568000000000001</c:v>
                </c:pt>
                <c:pt idx="48">
                  <c:v>1.4503999999999999</c:v>
                </c:pt>
                <c:pt idx="49">
                  <c:v>1.4538</c:v>
                </c:pt>
                <c:pt idx="50">
                  <c:v>1.4529000000000001</c:v>
                </c:pt>
                <c:pt idx="51">
                  <c:v>1.4562999999999999</c:v>
                </c:pt>
                <c:pt idx="52">
                  <c:v>1.4659</c:v>
                </c:pt>
                <c:pt idx="53">
                  <c:v>1.4527000000000001</c:v>
                </c:pt>
                <c:pt idx="54">
                  <c:v>1.4460999999999999</c:v>
                </c:pt>
                <c:pt idx="55">
                  <c:v>1.4433</c:v>
                </c:pt>
                <c:pt idx="56">
                  <c:v>1.431</c:v>
                </c:pt>
                <c:pt idx="57">
                  <c:v>1.4363999999999999</c:v>
                </c:pt>
                <c:pt idx="58">
                  <c:v>1.415</c:v>
                </c:pt>
                <c:pt idx="59">
                  <c:v>1.4144000000000001</c:v>
                </c:pt>
                <c:pt idx="60">
                  <c:v>1.4055</c:v>
                </c:pt>
                <c:pt idx="61">
                  <c:v>1.4011</c:v>
                </c:pt>
                <c:pt idx="62">
                  <c:v>1.452</c:v>
                </c:pt>
                <c:pt idx="63">
                  <c:v>1.4799</c:v>
                </c:pt>
                <c:pt idx="64">
                  <c:v>1.4648000000000001</c:v>
                </c:pt>
                <c:pt idx="65">
                  <c:v>1.4988999999999999</c:v>
                </c:pt>
                <c:pt idx="66">
                  <c:v>1.4815</c:v>
                </c:pt>
                <c:pt idx="67">
                  <c:v>1.4994000000000001</c:v>
                </c:pt>
                <c:pt idx="68">
                  <c:v>1.5136000000000001</c:v>
                </c:pt>
              </c:numCache>
            </c:numRef>
          </c:val>
          <c:smooth val="0"/>
          <c:extLst>
            <c:ext xmlns:c16="http://schemas.microsoft.com/office/drawing/2014/chart" uri="{C3380CC4-5D6E-409C-BE32-E72D297353CC}">
              <c16:uniqueId val="{0000011F-848D-440A-8D75-9BC56F2C29E3}"/>
            </c:ext>
          </c:extLst>
        </c:ser>
        <c:ser>
          <c:idx val="6"/>
          <c:order val="6"/>
          <c:tx>
            <c:v>JPY - Left Axis</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7E-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C-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B-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81-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8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8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8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8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87-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88-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8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89-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8A-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8B-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8C-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8D-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8E-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8F-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90-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91-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92-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93-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94-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95-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96-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97-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98-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99-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9A-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9B-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9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9D-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9E-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A0-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9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A1-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A2-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A3-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A4-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A5-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A6-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A7-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A8-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A9-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AA-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AB-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AC-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AD-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AE-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AF-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B0-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B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B3-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B2-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B4-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B5-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B6-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B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2-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4-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4-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4-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3-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4-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4-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2-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8-9C3D-4503-8C80-9DEE00A4B441}"/>
                </c:ext>
              </c:extLst>
            </c:dLbl>
            <c:dLbl>
              <c:idx val="68"/>
              <c:layout>
                <c:manualLayout>
                  <c:x val="-5.2785923753665691E-2"/>
                  <c:y val="-2.6262626262626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3D-4503-8C80-9DEE00A4B441}"/>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6.2'!$A$150:$B$218</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 6.2'!$I$150:$I$218</c:f>
              <c:numCache>
                <c:formatCode>#,##0.000</c:formatCode>
                <c:ptCount val="69"/>
                <c:pt idx="0">
                  <c:v>1.2592000000000001</c:v>
                </c:pt>
                <c:pt idx="1">
                  <c:v>1.2887999999999999</c:v>
                </c:pt>
                <c:pt idx="2">
                  <c:v>1.3222</c:v>
                </c:pt>
                <c:pt idx="3">
                  <c:v>1.3163</c:v>
                </c:pt>
                <c:pt idx="4">
                  <c:v>1.3104</c:v>
                </c:pt>
                <c:pt idx="5">
                  <c:v>1.2910999999999999</c:v>
                </c:pt>
                <c:pt idx="6">
                  <c:v>1.2987</c:v>
                </c:pt>
                <c:pt idx="7">
                  <c:v>1.2844</c:v>
                </c:pt>
                <c:pt idx="8">
                  <c:v>1.2951999999999999</c:v>
                </c:pt>
                <c:pt idx="9">
                  <c:v>1.3057000000000001</c:v>
                </c:pt>
                <c:pt idx="10">
                  <c:v>1.2862</c:v>
                </c:pt>
                <c:pt idx="11">
                  <c:v>1.2787999999999999</c:v>
                </c:pt>
                <c:pt idx="12">
                  <c:v>1.2690999999999999</c:v>
                </c:pt>
                <c:pt idx="13">
                  <c:v>1.2506999999999999</c:v>
                </c:pt>
                <c:pt idx="14">
                  <c:v>1.2151000000000001</c:v>
                </c:pt>
                <c:pt idx="15">
                  <c:v>1.2171000000000001</c:v>
                </c:pt>
                <c:pt idx="16">
                  <c:v>1.2057</c:v>
                </c:pt>
                <c:pt idx="17">
                  <c:v>1.2109000000000001</c:v>
                </c:pt>
                <c:pt idx="18">
                  <c:v>1.2347999999999999</c:v>
                </c:pt>
                <c:pt idx="19">
                  <c:v>1.2224999999999999</c:v>
                </c:pt>
                <c:pt idx="20">
                  <c:v>1.2202999999999999</c:v>
                </c:pt>
                <c:pt idx="21">
                  <c:v>1.1831</c:v>
                </c:pt>
                <c:pt idx="22">
                  <c:v>1.2057</c:v>
                </c:pt>
                <c:pt idx="23">
                  <c:v>1.1716</c:v>
                </c:pt>
                <c:pt idx="24">
                  <c:v>1.1736</c:v>
                </c:pt>
                <c:pt idx="25">
                  <c:v>1.1785000000000001</c:v>
                </c:pt>
                <c:pt idx="26">
                  <c:v>1.1134999999999999</c:v>
                </c:pt>
                <c:pt idx="27">
                  <c:v>1.0658000000000001</c:v>
                </c:pt>
                <c:pt idx="28">
                  <c:v>1.0647</c:v>
                </c:pt>
                <c:pt idx="29">
                  <c:v>1.0235000000000001</c:v>
                </c:pt>
                <c:pt idx="30">
                  <c:v>1.0364</c:v>
                </c:pt>
                <c:pt idx="31">
                  <c:v>1.0055000000000001</c:v>
                </c:pt>
                <c:pt idx="32">
                  <c:v>0.99209999999999998</c:v>
                </c:pt>
                <c:pt idx="33">
                  <c:v>0.95240000000000002</c:v>
                </c:pt>
                <c:pt idx="34">
                  <c:v>0.98580000000000001</c:v>
                </c:pt>
                <c:pt idx="35">
                  <c:v>1.0224</c:v>
                </c:pt>
                <c:pt idx="36">
                  <c:v>1.0099</c:v>
                </c:pt>
                <c:pt idx="37">
                  <c:v>0.98980000000000001</c:v>
                </c:pt>
                <c:pt idx="38">
                  <c:v>1.0029999999999999</c:v>
                </c:pt>
                <c:pt idx="39">
                  <c:v>0.98</c:v>
                </c:pt>
                <c:pt idx="40">
                  <c:v>0.97050000000000003</c:v>
                </c:pt>
                <c:pt idx="41">
                  <c:v>0.93710000000000004</c:v>
                </c:pt>
                <c:pt idx="42">
                  <c:v>0.93459999999999999</c:v>
                </c:pt>
                <c:pt idx="43">
                  <c:v>0.92849999999999999</c:v>
                </c:pt>
                <c:pt idx="44">
                  <c:v>0.91459999999999997</c:v>
                </c:pt>
                <c:pt idx="45">
                  <c:v>0.90290000000000004</c:v>
                </c:pt>
                <c:pt idx="46">
                  <c:v>0.90239999999999998</c:v>
                </c:pt>
                <c:pt idx="47">
                  <c:v>0.93559999999999999</c:v>
                </c:pt>
                <c:pt idx="48">
                  <c:v>0.91190000000000004</c:v>
                </c:pt>
                <c:pt idx="49">
                  <c:v>0.8972</c:v>
                </c:pt>
                <c:pt idx="50">
                  <c:v>0.89139999999999997</c:v>
                </c:pt>
                <c:pt idx="51">
                  <c:v>0.86570000000000003</c:v>
                </c:pt>
                <c:pt idx="52">
                  <c:v>0.8589</c:v>
                </c:pt>
                <c:pt idx="53">
                  <c:v>0.84279999999999999</c:v>
                </c:pt>
                <c:pt idx="54">
                  <c:v>0.89070000000000005</c:v>
                </c:pt>
                <c:pt idx="55">
                  <c:v>0.89380000000000004</c:v>
                </c:pt>
                <c:pt idx="56">
                  <c:v>0.89500000000000002</c:v>
                </c:pt>
                <c:pt idx="57">
                  <c:v>0.86809999999999998</c:v>
                </c:pt>
                <c:pt idx="58">
                  <c:v>0.89500000000000002</c:v>
                </c:pt>
                <c:pt idx="59">
                  <c:v>0.86839999999999995</c:v>
                </c:pt>
                <c:pt idx="60">
                  <c:v>0.874</c:v>
                </c:pt>
                <c:pt idx="61">
                  <c:v>0.89739999999999998</c:v>
                </c:pt>
                <c:pt idx="62">
                  <c:v>0.89500000000000002</c:v>
                </c:pt>
                <c:pt idx="63">
                  <c:v>0.91369999999999996</c:v>
                </c:pt>
                <c:pt idx="64">
                  <c:v>0.89610000000000001</c:v>
                </c:pt>
                <c:pt idx="65">
                  <c:v>0.88290000000000002</c:v>
                </c:pt>
                <c:pt idx="66">
                  <c:v>0.86099999999999999</c:v>
                </c:pt>
                <c:pt idx="67">
                  <c:v>0.87309999999999999</c:v>
                </c:pt>
                <c:pt idx="68">
                  <c:v>0.872</c:v>
                </c:pt>
              </c:numCache>
            </c:numRef>
          </c:val>
          <c:smooth val="0"/>
          <c:extLst>
            <c:ext xmlns:c16="http://schemas.microsoft.com/office/drawing/2014/chart" uri="{C3380CC4-5D6E-409C-BE32-E72D297353CC}">
              <c16:uniqueId val="{00000167-848D-440A-8D75-9BC56F2C29E3}"/>
            </c:ext>
          </c:extLst>
        </c:ser>
        <c:dLbls>
          <c:showLegendKey val="0"/>
          <c:showVal val="1"/>
          <c:showCatName val="0"/>
          <c:showSerName val="0"/>
          <c:showPercent val="0"/>
          <c:showBubbleSize val="0"/>
        </c:dLbls>
        <c:marker val="1"/>
        <c:smooth val="0"/>
        <c:axId val="486520264"/>
        <c:axId val="486520656"/>
      </c:lineChart>
      <c:lineChart>
        <c:grouping val="standard"/>
        <c:varyColors val="0"/>
        <c:ser>
          <c:idx val="4"/>
          <c:order val="4"/>
          <c:tx>
            <c:v>HKD-Right Axis</c:v>
          </c:tx>
          <c:spPr>
            <a:ln>
              <a:solidFill>
                <a:srgbClr val="C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F9-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11-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F-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F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FD-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FF-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FE-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0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01-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02-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03-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0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06-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0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07-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08-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09-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0A-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0B-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0C-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0D-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0E-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0F-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10-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11-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12-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13-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14-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15-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16-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17-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19-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18-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1B-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1A-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1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1C-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1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1F-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22-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21-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20-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24-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23-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26-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25-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28-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29-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2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2A-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2C-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2D-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2E-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2F-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30-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3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3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33-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1-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6-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6-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4-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6-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1-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6-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6-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1-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C-9C3D-4503-8C80-9DEE00A4B441}"/>
                </c:ext>
              </c:extLst>
            </c:dLbl>
            <c:dLbl>
              <c:idx val="68"/>
              <c:layout>
                <c:manualLayout>
                  <c:x val="-6.0117302052785926E-2"/>
                  <c:y val="3.0303030303030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3D-4503-8C80-9DEE00A4B441}"/>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6.2'!$A$150:$B$218</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 6.2'!$G$150:$G$218</c:f>
              <c:numCache>
                <c:formatCode>#,##0.000</c:formatCode>
                <c:ptCount val="69"/>
                <c:pt idx="0">
                  <c:v>17.57</c:v>
                </c:pt>
                <c:pt idx="1">
                  <c:v>17.88</c:v>
                </c:pt>
                <c:pt idx="2">
                  <c:v>18.350000000000001</c:v>
                </c:pt>
                <c:pt idx="3">
                  <c:v>18.2</c:v>
                </c:pt>
                <c:pt idx="4">
                  <c:v>18.23</c:v>
                </c:pt>
                <c:pt idx="5">
                  <c:v>17.98</c:v>
                </c:pt>
                <c:pt idx="6">
                  <c:v>17.740000000000002</c:v>
                </c:pt>
                <c:pt idx="7">
                  <c:v>17.549999999999997</c:v>
                </c:pt>
                <c:pt idx="8">
                  <c:v>17.62</c:v>
                </c:pt>
                <c:pt idx="9">
                  <c:v>17.630000000000003</c:v>
                </c:pt>
                <c:pt idx="10">
                  <c:v>17.309999999999999</c:v>
                </c:pt>
                <c:pt idx="11">
                  <c:v>17.04</c:v>
                </c:pt>
                <c:pt idx="12">
                  <c:v>17.14</c:v>
                </c:pt>
                <c:pt idx="13">
                  <c:v>17.18</c:v>
                </c:pt>
                <c:pt idx="14">
                  <c:v>17.309999999999999</c:v>
                </c:pt>
                <c:pt idx="15">
                  <c:v>17.130000000000003</c:v>
                </c:pt>
                <c:pt idx="16">
                  <c:v>17.03</c:v>
                </c:pt>
                <c:pt idx="17">
                  <c:v>17.330000000000002</c:v>
                </c:pt>
                <c:pt idx="18">
                  <c:v>17.43</c:v>
                </c:pt>
                <c:pt idx="19">
                  <c:v>17.29</c:v>
                </c:pt>
                <c:pt idx="20">
                  <c:v>17.440000000000001</c:v>
                </c:pt>
                <c:pt idx="21">
                  <c:v>17.34</c:v>
                </c:pt>
                <c:pt idx="22">
                  <c:v>17.5</c:v>
                </c:pt>
                <c:pt idx="23">
                  <c:v>17.299999999999997</c:v>
                </c:pt>
                <c:pt idx="24">
                  <c:v>17.34</c:v>
                </c:pt>
                <c:pt idx="25">
                  <c:v>17.349999999999998</c:v>
                </c:pt>
                <c:pt idx="26">
                  <c:v>17.299999999999997</c:v>
                </c:pt>
                <c:pt idx="27">
                  <c:v>17.630000000000003</c:v>
                </c:pt>
                <c:pt idx="28">
                  <c:v>17.47</c:v>
                </c:pt>
                <c:pt idx="29">
                  <c:v>17.71</c:v>
                </c:pt>
                <c:pt idx="30">
                  <c:v>17.59</c:v>
                </c:pt>
                <c:pt idx="31">
                  <c:v>17.8</c:v>
                </c:pt>
                <c:pt idx="32">
                  <c:v>18.3</c:v>
                </c:pt>
                <c:pt idx="33">
                  <c:v>18.05</c:v>
                </c:pt>
                <c:pt idx="34">
                  <c:v>17.43</c:v>
                </c:pt>
                <c:pt idx="35">
                  <c:v>17.190000000000001</c:v>
                </c:pt>
                <c:pt idx="36">
                  <c:v>16.760000000000002</c:v>
                </c:pt>
                <c:pt idx="37">
                  <c:v>17.18</c:v>
                </c:pt>
                <c:pt idx="38">
                  <c:v>16.97</c:v>
                </c:pt>
                <c:pt idx="39">
                  <c:v>17</c:v>
                </c:pt>
                <c:pt idx="40">
                  <c:v>17.27</c:v>
                </c:pt>
                <c:pt idx="41">
                  <c:v>17.260000000000002</c:v>
                </c:pt>
                <c:pt idx="42">
                  <c:v>17.059999999999999</c:v>
                </c:pt>
                <c:pt idx="43">
                  <c:v>17.239999999999998</c:v>
                </c:pt>
                <c:pt idx="44">
                  <c:v>17.45</c:v>
                </c:pt>
                <c:pt idx="45">
                  <c:v>17.510000000000002</c:v>
                </c:pt>
                <c:pt idx="46">
                  <c:v>17.130000000000003</c:v>
                </c:pt>
                <c:pt idx="47">
                  <c:v>16.900000000000002</c:v>
                </c:pt>
                <c:pt idx="48">
                  <c:v>17.14</c:v>
                </c:pt>
                <c:pt idx="49">
                  <c:v>17.190000000000001</c:v>
                </c:pt>
                <c:pt idx="50">
                  <c:v>17.239999999999998</c:v>
                </c:pt>
                <c:pt idx="51">
                  <c:v>17.45</c:v>
                </c:pt>
                <c:pt idx="52">
                  <c:v>17.28</c:v>
                </c:pt>
                <c:pt idx="53">
                  <c:v>17.37</c:v>
                </c:pt>
                <c:pt idx="54">
                  <c:v>17.100000000000001</c:v>
                </c:pt>
                <c:pt idx="55">
                  <c:v>16.760000000000002</c:v>
                </c:pt>
                <c:pt idx="56">
                  <c:v>16.54</c:v>
                </c:pt>
                <c:pt idx="57">
                  <c:v>16.98</c:v>
                </c:pt>
                <c:pt idx="58">
                  <c:v>17.21</c:v>
                </c:pt>
                <c:pt idx="59">
                  <c:v>17.580000000000002</c:v>
                </c:pt>
                <c:pt idx="60">
                  <c:v>17.41</c:v>
                </c:pt>
                <c:pt idx="61">
                  <c:v>17.380000000000003</c:v>
                </c:pt>
                <c:pt idx="62">
                  <c:v>17.260000000000002</c:v>
                </c:pt>
                <c:pt idx="63">
                  <c:v>16.86</c:v>
                </c:pt>
                <c:pt idx="64">
                  <c:v>16.46</c:v>
                </c:pt>
                <c:pt idx="65">
                  <c:v>16.2</c:v>
                </c:pt>
                <c:pt idx="66">
                  <c:v>16.54</c:v>
                </c:pt>
                <c:pt idx="67">
                  <c:v>16.470000000000002</c:v>
                </c:pt>
                <c:pt idx="68">
                  <c:v>16.580000000000002</c:v>
                </c:pt>
              </c:numCache>
            </c:numRef>
          </c:val>
          <c:smooth val="0"/>
          <c:extLst>
            <c:ext xmlns:c16="http://schemas.microsoft.com/office/drawing/2014/chart" uri="{C3380CC4-5D6E-409C-BE32-E72D297353CC}">
              <c16:uniqueId val="{000001AF-848D-440A-8D75-9BC56F2C29E3}"/>
            </c:ext>
          </c:extLst>
        </c:ser>
        <c:ser>
          <c:idx val="5"/>
          <c:order val="5"/>
          <c:tx>
            <c:v>MYR - Right Axis</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4-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6-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42-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4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4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4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4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49-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47-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4A-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4B-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4C-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4D-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4E-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4F-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50-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51-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53-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54-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55-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56-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57-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58-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59-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5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5B-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5C-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5D-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5E-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5F-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60-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61-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62-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63-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64-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65-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66-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67-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68-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69-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6B-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6C-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6D-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6E-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6F-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70-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71-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72-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73-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74-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75-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76-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77-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78-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79-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5-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2-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1-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7-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1-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4-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2-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1-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5-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4-9C3D-4503-8C80-9DEE00A4B441}"/>
                </c:ext>
              </c:extLst>
            </c:dLbl>
            <c:dLbl>
              <c:idx val="68"/>
              <c:layout>
                <c:manualLayout>
                  <c:x val="-6.5982404692082108E-2"/>
                  <c:y val="2.82828282828282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3D-4503-8C80-9DEE00A4B441}"/>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6.2'!$A$150:$B$218</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 6.2'!$H$150:$H$218</c:f>
              <c:numCache>
                <c:formatCode>#,##0.000</c:formatCode>
                <c:ptCount val="69"/>
                <c:pt idx="0">
                  <c:v>33.300000000000004</c:v>
                </c:pt>
                <c:pt idx="1">
                  <c:v>33.07</c:v>
                </c:pt>
                <c:pt idx="2">
                  <c:v>32.950000000000003</c:v>
                </c:pt>
                <c:pt idx="3">
                  <c:v>32.83</c:v>
                </c:pt>
                <c:pt idx="4">
                  <c:v>32.5</c:v>
                </c:pt>
                <c:pt idx="5">
                  <c:v>32.53</c:v>
                </c:pt>
                <c:pt idx="6">
                  <c:v>32.43</c:v>
                </c:pt>
                <c:pt idx="7">
                  <c:v>32.67</c:v>
                </c:pt>
                <c:pt idx="8">
                  <c:v>32.86</c:v>
                </c:pt>
                <c:pt idx="9">
                  <c:v>32.9</c:v>
                </c:pt>
                <c:pt idx="10">
                  <c:v>32.93</c:v>
                </c:pt>
                <c:pt idx="11">
                  <c:v>32.86</c:v>
                </c:pt>
                <c:pt idx="12">
                  <c:v>32.9</c:v>
                </c:pt>
                <c:pt idx="13">
                  <c:v>32.910000000000004</c:v>
                </c:pt>
                <c:pt idx="14">
                  <c:v>32.450000000000003</c:v>
                </c:pt>
                <c:pt idx="15">
                  <c:v>32.49</c:v>
                </c:pt>
                <c:pt idx="16">
                  <c:v>32.07</c:v>
                </c:pt>
                <c:pt idx="17">
                  <c:v>32.409999999999997</c:v>
                </c:pt>
                <c:pt idx="18">
                  <c:v>32.090000000000003</c:v>
                </c:pt>
                <c:pt idx="19">
                  <c:v>32.379999999999995</c:v>
                </c:pt>
                <c:pt idx="20">
                  <c:v>32.440000000000005</c:v>
                </c:pt>
                <c:pt idx="21">
                  <c:v>32.57</c:v>
                </c:pt>
                <c:pt idx="22">
                  <c:v>32.450000000000003</c:v>
                </c:pt>
                <c:pt idx="23">
                  <c:v>32.39</c:v>
                </c:pt>
                <c:pt idx="24">
                  <c:v>32.369999999999997</c:v>
                </c:pt>
                <c:pt idx="25">
                  <c:v>32.33</c:v>
                </c:pt>
                <c:pt idx="26">
                  <c:v>32.24</c:v>
                </c:pt>
                <c:pt idx="27">
                  <c:v>31.740000000000002</c:v>
                </c:pt>
                <c:pt idx="28">
                  <c:v>31.31</c:v>
                </c:pt>
                <c:pt idx="29">
                  <c:v>31.630000000000003</c:v>
                </c:pt>
                <c:pt idx="30">
                  <c:v>30.990000000000002</c:v>
                </c:pt>
                <c:pt idx="31">
                  <c:v>31.25</c:v>
                </c:pt>
                <c:pt idx="32">
                  <c:v>30.97</c:v>
                </c:pt>
                <c:pt idx="33">
                  <c:v>29.959999999999997</c:v>
                </c:pt>
                <c:pt idx="34">
                  <c:v>30.73</c:v>
                </c:pt>
                <c:pt idx="35">
                  <c:v>30.44</c:v>
                </c:pt>
                <c:pt idx="36">
                  <c:v>30.79</c:v>
                </c:pt>
                <c:pt idx="37">
                  <c:v>30.049999999999997</c:v>
                </c:pt>
                <c:pt idx="38">
                  <c:v>30.130000000000003</c:v>
                </c:pt>
                <c:pt idx="39">
                  <c:v>29.970000000000002</c:v>
                </c:pt>
                <c:pt idx="40">
                  <c:v>29.310000000000002</c:v>
                </c:pt>
                <c:pt idx="41">
                  <c:v>29.060000000000002</c:v>
                </c:pt>
                <c:pt idx="42">
                  <c:v>29.5</c:v>
                </c:pt>
                <c:pt idx="43">
                  <c:v>29.12</c:v>
                </c:pt>
                <c:pt idx="44">
                  <c:v>29.04</c:v>
                </c:pt>
                <c:pt idx="45">
                  <c:v>28.749999999999996</c:v>
                </c:pt>
                <c:pt idx="46">
                  <c:v>28.689999999999998</c:v>
                </c:pt>
                <c:pt idx="47">
                  <c:v>28.720000000000002</c:v>
                </c:pt>
                <c:pt idx="48">
                  <c:v>28.32</c:v>
                </c:pt>
                <c:pt idx="49">
                  <c:v>28.37</c:v>
                </c:pt>
                <c:pt idx="50">
                  <c:v>28.549999999999997</c:v>
                </c:pt>
                <c:pt idx="51">
                  <c:v>28.610000000000003</c:v>
                </c:pt>
                <c:pt idx="52">
                  <c:v>28.720000000000002</c:v>
                </c:pt>
                <c:pt idx="53">
                  <c:v>28.720000000000002</c:v>
                </c:pt>
                <c:pt idx="54">
                  <c:v>28.720000000000002</c:v>
                </c:pt>
                <c:pt idx="55">
                  <c:v>30.209999999999997</c:v>
                </c:pt>
                <c:pt idx="56">
                  <c:v>31.12</c:v>
                </c:pt>
                <c:pt idx="57">
                  <c:v>30.220000000000002</c:v>
                </c:pt>
                <c:pt idx="58">
                  <c:v>30.16</c:v>
                </c:pt>
                <c:pt idx="59">
                  <c:v>30.470000000000002</c:v>
                </c:pt>
                <c:pt idx="60">
                  <c:v>30.43</c:v>
                </c:pt>
                <c:pt idx="61">
                  <c:v>30.29</c:v>
                </c:pt>
                <c:pt idx="62">
                  <c:v>30.23</c:v>
                </c:pt>
                <c:pt idx="63">
                  <c:v>30.270000000000003</c:v>
                </c:pt>
                <c:pt idx="64">
                  <c:v>30.29</c:v>
                </c:pt>
                <c:pt idx="65">
                  <c:v>30.3</c:v>
                </c:pt>
                <c:pt idx="66">
                  <c:v>30.4</c:v>
                </c:pt>
                <c:pt idx="67">
                  <c:v>30.37</c:v>
                </c:pt>
                <c:pt idx="68">
                  <c:v>30.659999999999997</c:v>
                </c:pt>
              </c:numCache>
            </c:numRef>
          </c:val>
          <c:smooth val="0"/>
          <c:extLst>
            <c:ext xmlns:c16="http://schemas.microsoft.com/office/drawing/2014/chart" uri="{C3380CC4-5D6E-409C-BE32-E72D297353CC}">
              <c16:uniqueId val="{000001F7-848D-440A-8D75-9BC56F2C29E3}"/>
            </c:ext>
          </c:extLst>
        </c:ser>
        <c:ser>
          <c:idx val="7"/>
          <c:order val="7"/>
          <c:tx>
            <c:v>THB - Right Axis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38-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9-1BCD-4186-A6AE-34A2B10C34C1}"/>
                </c:ext>
              </c:extLst>
            </c:dLbl>
            <c:dLbl>
              <c:idx val="2"/>
              <c:delete val="1"/>
              <c:extLst>
                <c:ext xmlns:c15="http://schemas.microsoft.com/office/drawing/2012/chart" uri="{CE6537A1-D6FC-4f65-9D91-7224C49458BB}"/>
                <c:ext xmlns:c16="http://schemas.microsoft.com/office/drawing/2014/chart" uri="{C3380CC4-5D6E-409C-BE32-E72D297353CC}">
                  <c16:uniqueId val="{00000008-1BCD-4186-A6AE-34A2B10C34C1}"/>
                </c:ext>
              </c:extLst>
            </c:dLbl>
            <c:dLbl>
              <c:idx val="3"/>
              <c:delete val="1"/>
              <c:extLst>
                <c:ext xmlns:c15="http://schemas.microsoft.com/office/drawing/2012/chart" uri="{CE6537A1-D6FC-4f65-9D91-7224C49458BB}"/>
                <c:ext xmlns:c16="http://schemas.microsoft.com/office/drawing/2014/chart" uri="{C3380CC4-5D6E-409C-BE32-E72D297353CC}">
                  <c16:uniqueId val="{0000013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13B-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13E-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13D-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4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3F-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41-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4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4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43-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4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46-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47-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48-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49-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50-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4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51-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4E-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4D-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4C-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4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4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55-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54-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53-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5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56-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5B-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5A-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59-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57-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58-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5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5E-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5F-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60-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61-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62-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6B-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6C-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63-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6E-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6D-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69-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6F-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64-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70-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68-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65-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7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7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6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0-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7-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7-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5-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7-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0-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7-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7-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0-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F-9C3D-4503-8C80-9DEE00A4B441}"/>
                </c:ext>
              </c:extLst>
            </c:dLbl>
            <c:dLbl>
              <c:idx val="68"/>
              <c:layout>
                <c:manualLayout>
                  <c:x val="-5.865102639296188E-2"/>
                  <c:y val="-2.6262626262626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3D-4503-8C80-9DEE00A4B441}"/>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6.2'!$A$150:$B$218</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 6.2'!$J$150:$J$218</c:f>
              <c:numCache>
                <c:formatCode>#,##0.000</c:formatCode>
                <c:ptCount val="69"/>
                <c:pt idx="0">
                  <c:v>4.37</c:v>
                </c:pt>
                <c:pt idx="1">
                  <c:v>4.42</c:v>
                </c:pt>
                <c:pt idx="2">
                  <c:v>4.34</c:v>
                </c:pt>
                <c:pt idx="3">
                  <c:v>4.3499999999999996</c:v>
                </c:pt>
                <c:pt idx="4">
                  <c:v>4.4400000000000004</c:v>
                </c:pt>
                <c:pt idx="5">
                  <c:v>4.51</c:v>
                </c:pt>
                <c:pt idx="6">
                  <c:v>4.3999999999999995</c:v>
                </c:pt>
                <c:pt idx="7">
                  <c:v>4.38</c:v>
                </c:pt>
                <c:pt idx="8">
                  <c:v>4.32</c:v>
                </c:pt>
                <c:pt idx="9">
                  <c:v>4.3900000000000006</c:v>
                </c:pt>
                <c:pt idx="10">
                  <c:v>4.43</c:v>
                </c:pt>
                <c:pt idx="11">
                  <c:v>4.41</c:v>
                </c:pt>
                <c:pt idx="12">
                  <c:v>4.4400000000000004</c:v>
                </c:pt>
                <c:pt idx="13">
                  <c:v>4.37</c:v>
                </c:pt>
                <c:pt idx="14">
                  <c:v>4.3099999999999996</c:v>
                </c:pt>
                <c:pt idx="15">
                  <c:v>4.2700000000000005</c:v>
                </c:pt>
                <c:pt idx="16">
                  <c:v>4.24</c:v>
                </c:pt>
                <c:pt idx="17">
                  <c:v>4.2</c:v>
                </c:pt>
                <c:pt idx="18">
                  <c:v>4.1099999999999994</c:v>
                </c:pt>
                <c:pt idx="19">
                  <c:v>4.17</c:v>
                </c:pt>
                <c:pt idx="20">
                  <c:v>4.04</c:v>
                </c:pt>
                <c:pt idx="21">
                  <c:v>4.05</c:v>
                </c:pt>
                <c:pt idx="22">
                  <c:v>4.05</c:v>
                </c:pt>
                <c:pt idx="23">
                  <c:v>4.0599999999999996</c:v>
                </c:pt>
                <c:pt idx="24">
                  <c:v>4.07</c:v>
                </c:pt>
                <c:pt idx="25">
                  <c:v>4.1500000000000004</c:v>
                </c:pt>
                <c:pt idx="26">
                  <c:v>4.08</c:v>
                </c:pt>
                <c:pt idx="27">
                  <c:v>4.04</c:v>
                </c:pt>
                <c:pt idx="28">
                  <c:v>4</c:v>
                </c:pt>
                <c:pt idx="29">
                  <c:v>3.94</c:v>
                </c:pt>
                <c:pt idx="30">
                  <c:v>3.81</c:v>
                </c:pt>
                <c:pt idx="31">
                  <c:v>3.82</c:v>
                </c:pt>
                <c:pt idx="32">
                  <c:v>3.8</c:v>
                </c:pt>
                <c:pt idx="33">
                  <c:v>3.73</c:v>
                </c:pt>
                <c:pt idx="34">
                  <c:v>3.88</c:v>
                </c:pt>
                <c:pt idx="35">
                  <c:v>3.88</c:v>
                </c:pt>
                <c:pt idx="36">
                  <c:v>4.01</c:v>
                </c:pt>
                <c:pt idx="37">
                  <c:v>3.83</c:v>
                </c:pt>
                <c:pt idx="38">
                  <c:v>3.9</c:v>
                </c:pt>
                <c:pt idx="39">
                  <c:v>3.91</c:v>
                </c:pt>
                <c:pt idx="40">
                  <c:v>3.9</c:v>
                </c:pt>
                <c:pt idx="41">
                  <c:v>3.83</c:v>
                </c:pt>
                <c:pt idx="42">
                  <c:v>3.88</c:v>
                </c:pt>
                <c:pt idx="43">
                  <c:v>3.8600000000000003</c:v>
                </c:pt>
                <c:pt idx="44">
                  <c:v>3.74</c:v>
                </c:pt>
                <c:pt idx="45">
                  <c:v>3.7900000000000005</c:v>
                </c:pt>
                <c:pt idx="46">
                  <c:v>3.7900000000000005</c:v>
                </c:pt>
                <c:pt idx="47">
                  <c:v>3.84</c:v>
                </c:pt>
                <c:pt idx="48">
                  <c:v>3.7699999999999996</c:v>
                </c:pt>
                <c:pt idx="49">
                  <c:v>3.75</c:v>
                </c:pt>
                <c:pt idx="50">
                  <c:v>3.71</c:v>
                </c:pt>
                <c:pt idx="51">
                  <c:v>3.6799999999999997</c:v>
                </c:pt>
                <c:pt idx="52">
                  <c:v>3.6700000000000004</c:v>
                </c:pt>
                <c:pt idx="53">
                  <c:v>3.6900000000000004</c:v>
                </c:pt>
                <c:pt idx="54">
                  <c:v>3.7600000000000002</c:v>
                </c:pt>
                <c:pt idx="55">
                  <c:v>3.84</c:v>
                </c:pt>
                <c:pt idx="56">
                  <c:v>3.96</c:v>
                </c:pt>
                <c:pt idx="57">
                  <c:v>3.91</c:v>
                </c:pt>
                <c:pt idx="58">
                  <c:v>3.91</c:v>
                </c:pt>
                <c:pt idx="59">
                  <c:v>3.9800000000000004</c:v>
                </c:pt>
                <c:pt idx="60">
                  <c:v>4.0199999999999996</c:v>
                </c:pt>
                <c:pt idx="61">
                  <c:v>3.95</c:v>
                </c:pt>
                <c:pt idx="62">
                  <c:v>3.96</c:v>
                </c:pt>
                <c:pt idx="63">
                  <c:v>3.91</c:v>
                </c:pt>
                <c:pt idx="64">
                  <c:v>3.93</c:v>
                </c:pt>
                <c:pt idx="65">
                  <c:v>3.92</c:v>
                </c:pt>
                <c:pt idx="66">
                  <c:v>3.9699999999999998</c:v>
                </c:pt>
                <c:pt idx="67">
                  <c:v>3.9699999999999998</c:v>
                </c:pt>
                <c:pt idx="68">
                  <c:v>3.9800000000000004</c:v>
                </c:pt>
              </c:numCache>
            </c:numRef>
          </c:val>
          <c:smooth val="0"/>
          <c:extLst>
            <c:ext xmlns:c16="http://schemas.microsoft.com/office/drawing/2014/chart" uri="{C3380CC4-5D6E-409C-BE32-E72D297353CC}">
              <c16:uniqueId val="{0000023F-848D-440A-8D75-9BC56F2C29E3}"/>
            </c:ext>
          </c:extLst>
        </c:ser>
        <c:dLbls>
          <c:showLegendKey val="0"/>
          <c:showVal val="1"/>
          <c:showCatName val="0"/>
          <c:showSerName val="0"/>
          <c:showPercent val="0"/>
          <c:showBubbleSize val="0"/>
        </c:dLbls>
        <c:marker val="1"/>
        <c:smooth val="0"/>
        <c:axId val="486336400"/>
        <c:axId val="486521048"/>
      </c:lineChart>
      <c:catAx>
        <c:axId val="486520264"/>
        <c:scaling>
          <c:orientation val="minMax"/>
        </c:scaling>
        <c:delete val="0"/>
        <c:axPos val="b"/>
        <c:numFmt formatCode="General" sourceLinked="0"/>
        <c:majorTickMark val="none"/>
        <c:minorTickMark val="none"/>
        <c:tickLblPos val="nextTo"/>
        <c:txPr>
          <a:bodyPr/>
          <a:lstStyle/>
          <a:p>
            <a:pPr>
              <a:defRPr sz="1100" b="0">
                <a:latin typeface="Geomanist" panose="02000503000000020004" pitchFamily="50" charset="0"/>
              </a:defRPr>
            </a:pPr>
            <a:endParaRPr lang="en-US"/>
          </a:p>
        </c:txPr>
        <c:crossAx val="486520656"/>
        <c:crosses val="autoZero"/>
        <c:auto val="1"/>
        <c:lblAlgn val="ctr"/>
        <c:lblOffset val="100"/>
        <c:tickLblSkip val="1"/>
        <c:noMultiLvlLbl val="0"/>
      </c:catAx>
      <c:valAx>
        <c:axId val="486520656"/>
        <c:scaling>
          <c:orientation val="minMax"/>
        </c:scaling>
        <c:delete val="0"/>
        <c:axPos val="l"/>
        <c:majorGridlines>
          <c:spPr>
            <a:ln>
              <a:solidFill>
                <a:schemeClr val="bg1">
                  <a:lumMod val="75000"/>
                </a:schemeClr>
              </a:solidFill>
              <a:prstDash val="dash"/>
            </a:ln>
          </c:spPr>
        </c:majorGridlines>
        <c:title>
          <c:tx>
            <c:rich>
              <a:bodyPr rot="-5400000" vert="horz"/>
              <a:lstStyle/>
              <a:p>
                <a:pPr>
                  <a:defRPr sz="1100"/>
                </a:pPr>
                <a:r>
                  <a:rPr lang="en-US" sz="1100"/>
                  <a:t>BND to 1 unit of foreign currency (except JPY)</a:t>
                </a:r>
              </a:p>
            </c:rich>
          </c:tx>
          <c:layout>
            <c:manualLayout>
              <c:xMode val="edge"/>
              <c:yMode val="edge"/>
              <c:x val="1.2483547694368118E-2"/>
              <c:y val="0.19241438002067923"/>
            </c:manualLayout>
          </c:layout>
          <c:overlay val="0"/>
        </c:title>
        <c:numFmt formatCode="#,##0.000" sourceLinked="1"/>
        <c:majorTickMark val="none"/>
        <c:minorTickMark val="none"/>
        <c:tickLblPos val="nextTo"/>
        <c:txPr>
          <a:bodyPr/>
          <a:lstStyle/>
          <a:p>
            <a:pPr>
              <a:defRPr sz="1100">
                <a:latin typeface="Geomanist" panose="02000503000000020004" pitchFamily="50" charset="0"/>
              </a:defRPr>
            </a:pPr>
            <a:endParaRPr lang="en-US"/>
          </a:p>
        </c:txPr>
        <c:crossAx val="486520264"/>
        <c:crosses val="autoZero"/>
        <c:crossBetween val="between"/>
      </c:valAx>
      <c:valAx>
        <c:axId val="486521048"/>
        <c:scaling>
          <c:orientation val="minMax"/>
          <c:max val="43"/>
          <c:min val="0"/>
        </c:scaling>
        <c:delete val="0"/>
        <c:axPos val="r"/>
        <c:title>
          <c:tx>
            <c:rich>
              <a:bodyPr rot="-5400000" vert="horz"/>
              <a:lstStyle/>
              <a:p>
                <a:pPr>
                  <a:defRPr sz="1100"/>
                </a:pPr>
                <a:r>
                  <a:rPr lang="en-US" sz="1100"/>
                  <a:t>BND to 100 unit of foreign currency</a:t>
                </a:r>
              </a:p>
            </c:rich>
          </c:tx>
          <c:layout>
            <c:manualLayout>
              <c:xMode val="edge"/>
              <c:yMode val="edge"/>
              <c:x val="0.96068060590666637"/>
              <c:y val="0.24708597788912745"/>
            </c:manualLayout>
          </c:layout>
          <c:overlay val="0"/>
        </c:title>
        <c:numFmt formatCode="#,##0.000" sourceLinked="1"/>
        <c:majorTickMark val="out"/>
        <c:minorTickMark val="none"/>
        <c:tickLblPos val="nextTo"/>
        <c:txPr>
          <a:bodyPr/>
          <a:lstStyle/>
          <a:p>
            <a:pPr>
              <a:defRPr sz="1100">
                <a:latin typeface="Geomanist" panose="02000503000000020004" pitchFamily="50" charset="0"/>
              </a:defRPr>
            </a:pPr>
            <a:endParaRPr lang="en-US"/>
          </a:p>
        </c:txPr>
        <c:crossAx val="486336400"/>
        <c:crosses val="max"/>
        <c:crossBetween val="between"/>
      </c:valAx>
      <c:catAx>
        <c:axId val="486336400"/>
        <c:scaling>
          <c:orientation val="minMax"/>
        </c:scaling>
        <c:delete val="1"/>
        <c:axPos val="b"/>
        <c:numFmt formatCode="General" sourceLinked="1"/>
        <c:majorTickMark val="out"/>
        <c:minorTickMark val="none"/>
        <c:tickLblPos val="nextTo"/>
        <c:crossAx val="486521048"/>
        <c:crosses val="autoZero"/>
        <c:auto val="1"/>
        <c:lblAlgn val="ctr"/>
        <c:lblOffset val="100"/>
        <c:noMultiLvlLbl val="0"/>
      </c:catAx>
      <c:spPr>
        <a:noFill/>
        <a:ln w="25400">
          <a:noFill/>
        </a:ln>
      </c:spPr>
    </c:plotArea>
    <c:legend>
      <c:legendPos val="r"/>
      <c:layout>
        <c:manualLayout>
          <c:xMode val="edge"/>
          <c:yMode val="edge"/>
          <c:x val="7.7101392384602965E-2"/>
          <c:y val="0.9361587528831623"/>
          <c:w val="0.8319865435562207"/>
          <c:h val="5.5903702396915667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txPr>
    <a:bodyPr/>
    <a:lstStyle/>
    <a:p>
      <a:pPr>
        <a:defRPr>
          <a:latin typeface="Geomanist" panose="02000503000000020004" pitchFamily="50"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Heuristica" panose="02020603050705020204" pitchFamily="18" charset="0"/>
                <a:ea typeface="+mn-ea"/>
                <a:cs typeface="+mn-cs"/>
              </a:defRPr>
            </a:pPr>
            <a:r>
              <a:rPr lang="en-US" sz="1800">
                <a:solidFill>
                  <a:srgbClr val="006E59"/>
                </a:solidFill>
                <a:latin typeface="Heuristica" panose="02020603050705020204" pitchFamily="18" charset="0"/>
              </a:rPr>
              <a:t>Chart 2.1 &amp; 2.2: </a:t>
            </a:r>
            <a:r>
              <a:rPr lang="en-US" sz="1800">
                <a:solidFill>
                  <a:srgbClr val="D4C029"/>
                </a:solidFill>
                <a:latin typeface="Heuristica" panose="02020603050705020204" pitchFamily="18" charset="0"/>
              </a:rPr>
              <a:t>Banking System: Assets and Deposits</a:t>
            </a:r>
          </a:p>
        </c:rich>
      </c:tx>
      <c:layout>
        <c:manualLayout>
          <c:xMode val="edge"/>
          <c:yMode val="edge"/>
          <c:x val="0.19321344376910779"/>
          <c:y val="8.8223817172212483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376294092277025"/>
          <c:y val="0.10264083345717992"/>
          <c:w val="0.88413607776425351"/>
          <c:h val="0.74986684172086115"/>
        </c:manualLayout>
      </c:layout>
      <c:barChart>
        <c:barDir val="col"/>
        <c:grouping val="clustered"/>
        <c:varyColors val="0"/>
        <c:ser>
          <c:idx val="0"/>
          <c:order val="0"/>
          <c:tx>
            <c:v>Assets</c:v>
          </c:tx>
          <c:spPr>
            <a:solidFill>
              <a:srgbClr val="006E59"/>
            </a:solidFill>
            <a:ln w="6350">
              <a:solidFill>
                <a:srgbClr val="006E5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0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0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0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0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0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0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0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0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0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0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0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0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0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0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0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1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1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1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1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1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1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1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1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1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1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1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1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1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1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1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1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2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2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2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2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2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2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2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2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2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2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2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2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2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2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2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2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0D-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1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C-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0B-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0A-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2-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08-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09-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05-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06-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07-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0-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03-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04-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1-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02-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01-CB8F-4A05-BD98-290D1B992969}"/>
                </c:ext>
              </c:extLst>
            </c:dLbl>
            <c:dLbl>
              <c:idx val="65"/>
              <c:layout>
                <c:manualLayout>
                  <c:x val="-3.2258064516129142E-2"/>
                  <c:y val="-6.66666666666666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8F-4A05-BD98-290D1B99296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'2.2'!$A$113:$B$178</c:f>
              <c:multiLvlStrCache>
                <c:ptCount val="6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lvl>
                <c:lvl>
                  <c:pt idx="0">
                    <c:v>2020</c:v>
                  </c:pt>
                  <c:pt idx="12">
                    <c:v>2021</c:v>
                  </c:pt>
                  <c:pt idx="24">
                    <c:v>2022</c:v>
                  </c:pt>
                  <c:pt idx="36">
                    <c:v>2023</c:v>
                  </c:pt>
                  <c:pt idx="48">
                    <c:v>2024</c:v>
                  </c:pt>
                  <c:pt idx="60">
                    <c:v>2025</c:v>
                  </c:pt>
                </c:lvl>
              </c:multiLvlStrCache>
            </c:multiLvlStrRef>
          </c:cat>
          <c:val>
            <c:numRef>
              <c:f>'2.1'!$C$113:$C$178</c:f>
              <c:numCache>
                <c:formatCode>#,##0.00</c:formatCode>
                <c:ptCount val="66"/>
                <c:pt idx="0">
                  <c:v>17678.436951800981</c:v>
                </c:pt>
                <c:pt idx="1">
                  <c:v>17243.117260896059</c:v>
                </c:pt>
                <c:pt idx="2">
                  <c:v>17942.552103438917</c:v>
                </c:pt>
                <c:pt idx="3">
                  <c:v>17762.587603853928</c:v>
                </c:pt>
                <c:pt idx="4">
                  <c:v>19491.766365793341</c:v>
                </c:pt>
                <c:pt idx="5">
                  <c:v>17595.565262882566</c:v>
                </c:pt>
                <c:pt idx="6">
                  <c:v>17652.139497805383</c:v>
                </c:pt>
                <c:pt idx="7">
                  <c:v>17882.655060413523</c:v>
                </c:pt>
                <c:pt idx="8">
                  <c:v>17912.367939834221</c:v>
                </c:pt>
                <c:pt idx="9">
                  <c:v>18124.127184391611</c:v>
                </c:pt>
                <c:pt idx="10">
                  <c:v>18125.900455110361</c:v>
                </c:pt>
                <c:pt idx="11">
                  <c:v>18272.453892056168</c:v>
                </c:pt>
                <c:pt idx="12">
                  <c:v>17508.716880858883</c:v>
                </c:pt>
                <c:pt idx="13">
                  <c:v>17584.82102919502</c:v>
                </c:pt>
                <c:pt idx="14">
                  <c:v>18088.184082631979</c:v>
                </c:pt>
                <c:pt idx="15">
                  <c:v>18086.067944761031</c:v>
                </c:pt>
                <c:pt idx="16">
                  <c:v>18147.081543655804</c:v>
                </c:pt>
                <c:pt idx="17">
                  <c:v>18567.196090593381</c:v>
                </c:pt>
                <c:pt idx="18">
                  <c:v>18437.262946743449</c:v>
                </c:pt>
                <c:pt idx="19">
                  <c:v>18480.431125600247</c:v>
                </c:pt>
                <c:pt idx="20">
                  <c:v>19213.344900016909</c:v>
                </c:pt>
                <c:pt idx="21">
                  <c:v>18469.723329957345</c:v>
                </c:pt>
                <c:pt idx="22">
                  <c:v>18393.823442096676</c:v>
                </c:pt>
                <c:pt idx="23">
                  <c:v>19361.894222362065</c:v>
                </c:pt>
                <c:pt idx="24">
                  <c:v>19152.550549877986</c:v>
                </c:pt>
                <c:pt idx="25">
                  <c:v>18674.831919966004</c:v>
                </c:pt>
                <c:pt idx="26">
                  <c:v>19767.178142817182</c:v>
                </c:pt>
                <c:pt idx="27">
                  <c:v>19038.795637342504</c:v>
                </c:pt>
                <c:pt idx="28">
                  <c:v>19186.379762813587</c:v>
                </c:pt>
                <c:pt idx="29">
                  <c:v>20267.4058924534</c:v>
                </c:pt>
                <c:pt idx="30">
                  <c:v>20042.35961096234</c:v>
                </c:pt>
                <c:pt idx="31">
                  <c:v>19360.532887423251</c:v>
                </c:pt>
                <c:pt idx="32">
                  <c:v>20817.777692234995</c:v>
                </c:pt>
                <c:pt idx="33">
                  <c:v>19950.629488250099</c:v>
                </c:pt>
                <c:pt idx="34">
                  <c:v>19335.324762786204</c:v>
                </c:pt>
                <c:pt idx="35">
                  <c:v>20681.291078598257</c:v>
                </c:pt>
                <c:pt idx="36">
                  <c:v>20015.793300443089</c:v>
                </c:pt>
                <c:pt idx="37">
                  <c:v>19828.93433330351</c:v>
                </c:pt>
                <c:pt idx="38">
                  <c:v>20013.292257396544</c:v>
                </c:pt>
                <c:pt idx="39">
                  <c:v>19287.353458159327</c:v>
                </c:pt>
                <c:pt idx="40">
                  <c:v>19275.725292005121</c:v>
                </c:pt>
                <c:pt idx="41">
                  <c:v>19859.062660123796</c:v>
                </c:pt>
                <c:pt idx="42">
                  <c:v>19416.85469687506</c:v>
                </c:pt>
                <c:pt idx="43">
                  <c:v>19217.887772226481</c:v>
                </c:pt>
                <c:pt idx="44">
                  <c:v>19427.821642966232</c:v>
                </c:pt>
                <c:pt idx="45">
                  <c:v>19303.629804837223</c:v>
                </c:pt>
                <c:pt idx="46">
                  <c:v>19283.949172072142</c:v>
                </c:pt>
                <c:pt idx="47">
                  <c:v>19811.265941179663</c:v>
                </c:pt>
                <c:pt idx="48">
                  <c:v>19881.190450290436</c:v>
                </c:pt>
                <c:pt idx="49">
                  <c:v>19658.947189320748</c:v>
                </c:pt>
                <c:pt idx="50">
                  <c:v>20440.378158065741</c:v>
                </c:pt>
                <c:pt idx="51">
                  <c:v>19948.961486587275</c:v>
                </c:pt>
                <c:pt idx="52">
                  <c:v>19787.662404007489</c:v>
                </c:pt>
                <c:pt idx="53">
                  <c:v>20178.611807870151</c:v>
                </c:pt>
                <c:pt idx="54">
                  <c:v>19839.323088308323</c:v>
                </c:pt>
                <c:pt idx="55">
                  <c:v>19509.068891189396</c:v>
                </c:pt>
                <c:pt idx="56">
                  <c:v>20044.049943463808</c:v>
                </c:pt>
                <c:pt idx="57">
                  <c:v>20130.137457382796</c:v>
                </c:pt>
                <c:pt idx="58">
                  <c:v>19762.659947462485</c:v>
                </c:pt>
                <c:pt idx="59">
                  <c:v>20874.182723876726</c:v>
                </c:pt>
                <c:pt idx="60">
                  <c:v>20140.944083589584</c:v>
                </c:pt>
                <c:pt idx="61">
                  <c:v>20494.961677041782</c:v>
                </c:pt>
                <c:pt idx="62">
                  <c:v>20819.683481188782</c:v>
                </c:pt>
                <c:pt idx="63">
                  <c:v>20472.938382900942</c:v>
                </c:pt>
                <c:pt idx="64">
                  <c:v>20080.79265804547</c:v>
                </c:pt>
                <c:pt idx="65">
                  <c:v>20264.91310847229</c:v>
                </c:pt>
              </c:numCache>
            </c:numRef>
          </c:val>
          <c:extLst>
            <c:ext xmlns:c16="http://schemas.microsoft.com/office/drawing/2014/chart" uri="{C3380CC4-5D6E-409C-BE32-E72D297353CC}">
              <c16:uniqueId val="{00000001-E1BE-4E8F-989E-259EB230F4E5}"/>
            </c:ext>
          </c:extLst>
        </c:ser>
        <c:ser>
          <c:idx val="1"/>
          <c:order val="1"/>
          <c:tx>
            <c:v>Deposits</c:v>
          </c:tx>
          <c:spPr>
            <a:solidFill>
              <a:srgbClr val="D4C029"/>
            </a:solidFill>
            <a:ln>
              <a:solidFill>
                <a:srgbClr val="D4C02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3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3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3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3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3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3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3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3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3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3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3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3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3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3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3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4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4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4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4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4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4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4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4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4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4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4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4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4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4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4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4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5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5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5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5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5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5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5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5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5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5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5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5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5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5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5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5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41-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4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3E-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3F-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3D-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3-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3C-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3B-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3A-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39-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38-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1-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37-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36-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0-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35-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33-CB8F-4A05-BD98-290D1B992969}"/>
                </c:ext>
              </c:extLst>
            </c:dLbl>
            <c:dLbl>
              <c:idx val="65"/>
              <c:layout>
                <c:manualLayout>
                  <c:x val="-0.12756598240469219"/>
                  <c:y val="-0.1212121212121212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B8F-4A05-BD98-290D1B992969}"/>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'2.2'!$A$113:$B$178</c:f>
              <c:multiLvlStrCache>
                <c:ptCount val="66"/>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lvl>
                <c:lvl>
                  <c:pt idx="0">
                    <c:v>2020</c:v>
                  </c:pt>
                  <c:pt idx="12">
                    <c:v>2021</c:v>
                  </c:pt>
                  <c:pt idx="24">
                    <c:v>2022</c:v>
                  </c:pt>
                  <c:pt idx="36">
                    <c:v>2023</c:v>
                  </c:pt>
                  <c:pt idx="48">
                    <c:v>2024</c:v>
                  </c:pt>
                  <c:pt idx="60">
                    <c:v>2025</c:v>
                  </c:pt>
                </c:lvl>
              </c:multiLvlStrCache>
            </c:multiLvlStrRef>
          </c:cat>
          <c:val>
            <c:numRef>
              <c:f>'2.2'!$D$113:$D$178</c:f>
              <c:numCache>
                <c:formatCode>#,##0.00</c:formatCode>
                <c:ptCount val="66"/>
                <c:pt idx="0">
                  <c:v>14571.426011923548</c:v>
                </c:pt>
                <c:pt idx="1">
                  <c:v>14062.354343417333</c:v>
                </c:pt>
                <c:pt idx="2">
                  <c:v>14615.314043156413</c:v>
                </c:pt>
                <c:pt idx="3">
                  <c:v>14494.870854491106</c:v>
                </c:pt>
                <c:pt idx="4">
                  <c:v>16209.8463997852</c:v>
                </c:pt>
                <c:pt idx="5">
                  <c:v>14249.756537651643</c:v>
                </c:pt>
                <c:pt idx="6">
                  <c:v>14145.790437569709</c:v>
                </c:pt>
                <c:pt idx="7">
                  <c:v>14218.195360669733</c:v>
                </c:pt>
                <c:pt idx="8">
                  <c:v>14198.26032348648</c:v>
                </c:pt>
                <c:pt idx="9">
                  <c:v>14299.887822796982</c:v>
                </c:pt>
                <c:pt idx="10">
                  <c:v>14339.258711809056</c:v>
                </c:pt>
                <c:pt idx="11">
                  <c:v>14361.645541658434</c:v>
                </c:pt>
                <c:pt idx="12">
                  <c:v>14036.311807496695</c:v>
                </c:pt>
                <c:pt idx="13">
                  <c:v>14088.685833677469</c:v>
                </c:pt>
                <c:pt idx="14">
                  <c:v>14421.571565279601</c:v>
                </c:pt>
                <c:pt idx="15">
                  <c:v>14685.715295679651</c:v>
                </c:pt>
                <c:pt idx="16">
                  <c:v>14403.582502085901</c:v>
                </c:pt>
                <c:pt idx="17">
                  <c:v>15075.903753905253</c:v>
                </c:pt>
                <c:pt idx="18">
                  <c:v>15059.439825778831</c:v>
                </c:pt>
                <c:pt idx="19">
                  <c:v>14985.716813881072</c:v>
                </c:pt>
                <c:pt idx="20">
                  <c:v>15924.739990670923</c:v>
                </c:pt>
                <c:pt idx="21">
                  <c:v>15043.270108643301</c:v>
                </c:pt>
                <c:pt idx="22">
                  <c:v>14925.937229191248</c:v>
                </c:pt>
                <c:pt idx="23">
                  <c:v>16079.341565176666</c:v>
                </c:pt>
                <c:pt idx="24">
                  <c:v>15875.75986237783</c:v>
                </c:pt>
                <c:pt idx="25">
                  <c:v>15377.107114970835</c:v>
                </c:pt>
                <c:pt idx="26">
                  <c:v>16651.688724953598</c:v>
                </c:pt>
                <c:pt idx="27">
                  <c:v>15849.167565924556</c:v>
                </c:pt>
                <c:pt idx="28">
                  <c:v>16014.262689480312</c:v>
                </c:pt>
                <c:pt idx="29">
                  <c:v>16687.962048660112</c:v>
                </c:pt>
                <c:pt idx="30">
                  <c:v>16887.186519797546</c:v>
                </c:pt>
                <c:pt idx="31">
                  <c:v>16179.478449582632</c:v>
                </c:pt>
                <c:pt idx="32">
                  <c:v>17557.005784538927</c:v>
                </c:pt>
                <c:pt idx="33">
                  <c:v>16841.999366949265</c:v>
                </c:pt>
                <c:pt idx="34">
                  <c:v>16197.809126172122</c:v>
                </c:pt>
                <c:pt idx="35">
                  <c:v>17309.38226167285</c:v>
                </c:pt>
                <c:pt idx="36">
                  <c:v>16699.675877630434</c:v>
                </c:pt>
                <c:pt idx="37">
                  <c:v>16419.238623002308</c:v>
                </c:pt>
                <c:pt idx="38">
                  <c:v>16776.407655668783</c:v>
                </c:pt>
                <c:pt idx="39">
                  <c:v>16150.083853071537</c:v>
                </c:pt>
                <c:pt idx="40">
                  <c:v>15847.952172629364</c:v>
                </c:pt>
                <c:pt idx="41">
                  <c:v>16350.073730159991</c:v>
                </c:pt>
                <c:pt idx="42">
                  <c:v>16020.136346491941</c:v>
                </c:pt>
                <c:pt idx="43">
                  <c:v>15808.665220649151</c:v>
                </c:pt>
                <c:pt idx="44">
                  <c:v>15891.107477745145</c:v>
                </c:pt>
                <c:pt idx="45">
                  <c:v>15798.1938954039</c:v>
                </c:pt>
                <c:pt idx="46">
                  <c:v>15653.903508787225</c:v>
                </c:pt>
                <c:pt idx="47">
                  <c:v>16092.367981100218</c:v>
                </c:pt>
                <c:pt idx="48">
                  <c:v>16099.338737038963</c:v>
                </c:pt>
                <c:pt idx="49">
                  <c:v>15642.955725960081</c:v>
                </c:pt>
                <c:pt idx="50">
                  <c:v>16420.675473379524</c:v>
                </c:pt>
                <c:pt idx="51">
                  <c:v>16207.673578910353</c:v>
                </c:pt>
                <c:pt idx="52">
                  <c:v>15901.181476229556</c:v>
                </c:pt>
                <c:pt idx="53">
                  <c:v>15980.331211245364</c:v>
                </c:pt>
                <c:pt idx="54">
                  <c:v>15833.637868777681</c:v>
                </c:pt>
                <c:pt idx="55">
                  <c:v>15381.962611286366</c:v>
                </c:pt>
                <c:pt idx="56">
                  <c:v>15767.315509661132</c:v>
                </c:pt>
                <c:pt idx="57">
                  <c:v>15667.363504942257</c:v>
                </c:pt>
                <c:pt idx="58">
                  <c:v>15410.488557990931</c:v>
                </c:pt>
                <c:pt idx="59">
                  <c:v>16437.927325374327</c:v>
                </c:pt>
                <c:pt idx="60">
                  <c:v>15850.856076655131</c:v>
                </c:pt>
                <c:pt idx="61">
                  <c:v>16095.455355547741</c:v>
                </c:pt>
                <c:pt idx="62">
                  <c:v>16689.52113716145</c:v>
                </c:pt>
                <c:pt idx="63">
                  <c:v>16240.867411229285</c:v>
                </c:pt>
                <c:pt idx="64">
                  <c:v>15948.587958000631</c:v>
                </c:pt>
                <c:pt idx="65">
                  <c:v>16176.008849488924</c:v>
                </c:pt>
              </c:numCache>
            </c:numRef>
          </c:val>
          <c:extLst>
            <c:ext xmlns:c16="http://schemas.microsoft.com/office/drawing/2014/chart" uri="{C3380CC4-5D6E-409C-BE32-E72D297353CC}">
              <c16:uniqueId val="{00000003-E1BE-4E8F-989E-259EB230F4E5}"/>
            </c:ext>
          </c:extLst>
        </c:ser>
        <c:dLbls>
          <c:showLegendKey val="0"/>
          <c:showVal val="0"/>
          <c:showCatName val="0"/>
          <c:showSerName val="0"/>
          <c:showPercent val="0"/>
          <c:showBubbleSize val="0"/>
        </c:dLbls>
        <c:gapWidth val="75"/>
        <c:axId val="486510856"/>
        <c:axId val="486511248"/>
      </c:barChart>
      <c:catAx>
        <c:axId val="486510856"/>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crossAx val="486511248"/>
        <c:crosses val="autoZero"/>
        <c:auto val="1"/>
        <c:lblAlgn val="ctr"/>
        <c:lblOffset val="100"/>
        <c:tickLblSkip val="1"/>
        <c:noMultiLvlLbl val="0"/>
      </c:catAx>
      <c:valAx>
        <c:axId val="486511248"/>
        <c:scaling>
          <c:orientation val="minMax"/>
        </c:scaling>
        <c:delete val="0"/>
        <c:axPos val="l"/>
        <c:majorGridlines>
          <c:spPr>
            <a:ln w="9525" cap="flat" cmpd="sng" algn="ctr">
              <a:solidFill>
                <a:schemeClr val="tx1">
                  <a:tint val="75000"/>
                  <a:shade val="95000"/>
                  <a:satMod val="105000"/>
                </a:schemeClr>
              </a:solidFill>
              <a:prstDash val="dash"/>
              <a:round/>
            </a:ln>
            <a:effectLst/>
          </c:spPr>
        </c:majorGridlines>
        <c:title>
          <c:tx>
            <c:rich>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r>
                  <a:rPr lang="en-US" sz="1100">
                    <a:latin typeface="Geomanist" panose="02000503000000020004" pitchFamily="50" charset="0"/>
                  </a:rPr>
                  <a:t>BND Million</a:t>
                </a:r>
              </a:p>
            </c:rich>
          </c:tx>
          <c:layout>
            <c:manualLayout>
              <c:xMode val="edge"/>
              <c:yMode val="edge"/>
              <c:x val="8.3113029565711925E-4"/>
              <c:y val="0.3707360144070026"/>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1100" b="0" i="0" u="none" strike="noStrike" kern="1200" baseline="0">
                <a:solidFill>
                  <a:schemeClr val="tx1"/>
                </a:solidFill>
                <a:latin typeface="Geomanist" panose="02000503000000020004" pitchFamily="50" charset="0"/>
                <a:ea typeface="+mn-ea"/>
                <a:cs typeface="+mn-cs"/>
              </a:defRPr>
            </a:pPr>
            <a:endParaRPr lang="en-US"/>
          </a:p>
        </c:txPr>
        <c:crossAx val="486510856"/>
        <c:crosses val="autoZero"/>
        <c:crossBetween val="between"/>
      </c:valAx>
      <c:spPr>
        <a:noFill/>
        <a:ln w="25400">
          <a:noFill/>
        </a:ln>
        <a:effectLst/>
      </c:spPr>
    </c:plotArea>
    <c:legend>
      <c:legendPos val="b"/>
      <c:layout>
        <c:manualLayout>
          <c:xMode val="edge"/>
          <c:yMode val="edge"/>
          <c:x val="0.28090580044796454"/>
          <c:y val="0.95139863198918329"/>
          <c:w val="0.45900559455072359"/>
          <c:h val="3.9730838281236962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Chart 2.3: Banking System: Direction of Lending</a:t>
            </a:r>
          </a:p>
        </c:rich>
      </c:tx>
      <c:layout>
        <c:manualLayout>
          <c:xMode val="edge"/>
          <c:yMode val="edge"/>
          <c:x val="0.20506557831297481"/>
          <c:y val="4.6917998886502827E-3"/>
        </c:manualLayout>
      </c:layout>
      <c:overlay val="0"/>
    </c:title>
    <c:autoTitleDeleted val="0"/>
    <c:plotArea>
      <c:layout>
        <c:manualLayout>
          <c:layoutTarget val="inner"/>
          <c:xMode val="edge"/>
          <c:yMode val="edge"/>
          <c:x val="0.10676541898538343"/>
          <c:y val="4.6754314801558894E-2"/>
          <c:w val="0.88184505386305945"/>
          <c:h val="0.81799571954347094"/>
        </c:manualLayout>
      </c:layout>
      <c:barChart>
        <c:barDir val="col"/>
        <c:grouping val="stacked"/>
        <c:varyColors val="0"/>
        <c:ser>
          <c:idx val="2"/>
          <c:order val="1"/>
          <c:tx>
            <c:strRef>
              <c:f>'2.3'!$AA$4:$AA$7</c:f>
              <c:strCache>
                <c:ptCount val="4"/>
                <c:pt idx="0">
                  <c:v>Foreign Lending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B-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0-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3A-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1-6655-4E38-9430-8228A38E1453}"/>
                </c:ext>
              </c:extLst>
            </c:dLbl>
            <c:dLbl>
              <c:idx val="4"/>
              <c:delete val="1"/>
              <c:extLst>
                <c:ext xmlns:c15="http://schemas.microsoft.com/office/drawing/2012/chart" uri="{CE6537A1-D6FC-4f65-9D91-7224C49458BB}"/>
                <c:ext xmlns:c16="http://schemas.microsoft.com/office/drawing/2014/chart" uri="{C3380CC4-5D6E-409C-BE32-E72D297353CC}">
                  <c16:uniqueId val="{00000003-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3-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5-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7E44-4FB9-A76B-1E475187795C}"/>
                </c:ext>
              </c:extLst>
            </c:dLbl>
            <c:dLbl>
              <c:idx val="8"/>
              <c:delete val="1"/>
              <c:extLst>
                <c:ext xmlns:c15="http://schemas.microsoft.com/office/drawing/2012/chart" uri="{CE6537A1-D6FC-4f65-9D91-7224C49458BB}"/>
                <c:ext xmlns:c16="http://schemas.microsoft.com/office/drawing/2014/chart" uri="{C3380CC4-5D6E-409C-BE32-E72D297353CC}">
                  <c16:uniqueId val="{00000014-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10-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11-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F-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C-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21-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2-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2D-57B8-4DBF-A408-7066DAF469F2}"/>
                </c:ext>
              </c:extLst>
            </c:dLbl>
            <c:dLbl>
              <c:idx val="16"/>
              <c:delete val="1"/>
              <c:extLst>
                <c:ext xmlns:c15="http://schemas.microsoft.com/office/drawing/2012/chart" uri="{CE6537A1-D6FC-4f65-9D91-7224C49458BB}"/>
                <c:ext xmlns:c16="http://schemas.microsoft.com/office/drawing/2014/chart" uri="{C3380CC4-5D6E-409C-BE32-E72D297353CC}">
                  <c16:uniqueId val="{0000002C-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D-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E-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D-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F-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40-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F-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40-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F-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40-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41-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F-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1-7740-4415-9627-9C12DDE10164}"/>
                </c:ext>
              </c:extLst>
            </c:dLbl>
            <c:dLbl>
              <c:idx val="29"/>
              <c:layout>
                <c:manualLayout>
                  <c:x val="-1.3196480938416423E-2"/>
                  <c:y val="4.04040404040404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'2.3'!$A$16:$B$65</c15:sqref>
                  </c15:fullRef>
                </c:ext>
              </c:extLst>
              <c:f>'2.3'!$A$36:$B$65</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'2.3'!$AA$16:$AA$65</c15:sqref>
                  </c15:fullRef>
                </c:ext>
              </c:extLst>
              <c:f>'2.3'!$AA$36:$AA$65</c:f>
              <c:numCache>
                <c:formatCode>#,##0.00;[Red]#,##0.00</c:formatCode>
                <c:ptCount val="30"/>
                <c:pt idx="0">
                  <c:v>177.55</c:v>
                </c:pt>
                <c:pt idx="1">
                  <c:v>175.75</c:v>
                </c:pt>
                <c:pt idx="2">
                  <c:v>186.03</c:v>
                </c:pt>
                <c:pt idx="3">
                  <c:v>196.42</c:v>
                </c:pt>
                <c:pt idx="4">
                  <c:v>216.67</c:v>
                </c:pt>
                <c:pt idx="5">
                  <c:v>222.53</c:v>
                </c:pt>
                <c:pt idx="6">
                  <c:v>446.14</c:v>
                </c:pt>
                <c:pt idx="7">
                  <c:v>552.48</c:v>
                </c:pt>
                <c:pt idx="8">
                  <c:v>685.77394342827483</c:v>
                </c:pt>
                <c:pt idx="9">
                  <c:v>644.86751012609193</c:v>
                </c:pt>
                <c:pt idx="10">
                  <c:v>639.54574418259892</c:v>
                </c:pt>
                <c:pt idx="11">
                  <c:v>583.94682034227424</c:v>
                </c:pt>
                <c:pt idx="12">
                  <c:v>665.94420385873764</c:v>
                </c:pt>
                <c:pt idx="13">
                  <c:v>713.82779903378355</c:v>
                </c:pt>
                <c:pt idx="14">
                  <c:v>796.70400731402538</c:v>
                </c:pt>
                <c:pt idx="15">
                  <c:v>768.65458716021453</c:v>
                </c:pt>
                <c:pt idx="16">
                  <c:v>826.5698316900623</c:v>
                </c:pt>
                <c:pt idx="17">
                  <c:v>787.5940037750072</c:v>
                </c:pt>
                <c:pt idx="18">
                  <c:v>838.76007485355012</c:v>
                </c:pt>
                <c:pt idx="19">
                  <c:v>797.3298029581872</c:v>
                </c:pt>
                <c:pt idx="20">
                  <c:v>851.79801180687002</c:v>
                </c:pt>
                <c:pt idx="21">
                  <c:v>988.50796961012918</c:v>
                </c:pt>
                <c:pt idx="22">
                  <c:v>1020.7205890049942</c:v>
                </c:pt>
                <c:pt idx="23">
                  <c:v>1306.8867299425895</c:v>
                </c:pt>
                <c:pt idx="24">
                  <c:v>1515.8680215564832</c:v>
                </c:pt>
                <c:pt idx="25">
                  <c:v>1561.115112379128</c:v>
                </c:pt>
                <c:pt idx="26">
                  <c:v>1628.4910093405554</c:v>
                </c:pt>
                <c:pt idx="27">
                  <c:v>1826.7441892783111</c:v>
                </c:pt>
                <c:pt idx="28">
                  <c:v>1977.4080594114589</c:v>
                </c:pt>
                <c:pt idx="29">
                  <c:v>2344.6819458404893</c:v>
                </c:pt>
              </c:numCache>
            </c:numRef>
          </c:val>
          <c:extLst>
            <c:ext xmlns:c15="http://schemas.microsoft.com/office/drawing/2012/chart" uri="{02D57815-91ED-43cb-92C2-25804820EDAC}">
              <c15:categoryFilterExceptions>
                <c15:categoryFilterException>
                  <c15:sqref>'2.3'!$AA$20</c15:sqref>
                  <c15:dLbl>
                    <c:idx val="-1"/>
                    <c:delete val="1"/>
                    <c:extLst>
                      <c:ext uri="{CE6537A1-D6FC-4f65-9D91-7224C49458BB}"/>
                      <c:ext xmlns:c16="http://schemas.microsoft.com/office/drawing/2014/chart" uri="{C3380CC4-5D6E-409C-BE32-E72D297353CC}">
                        <c16:uniqueId val="{0000000C-EBEE-45B7-A46D-AB8A83D67167}"/>
                      </c:ext>
                    </c:extLst>
                  </c15:dLbl>
                </c15:categoryFilterException>
                <c15:categoryFilterException>
                  <c15:sqref>'2.3'!$AA$21</c15:sqref>
                  <c15:dLbl>
                    <c:idx val="-1"/>
                    <c:delete val="1"/>
                    <c:extLst>
                      <c:ext uri="{CE6537A1-D6FC-4f65-9D91-7224C49458BB}"/>
                      <c:ext xmlns:c16="http://schemas.microsoft.com/office/drawing/2014/chart" uri="{C3380CC4-5D6E-409C-BE32-E72D297353CC}">
                        <c16:uniqueId val="{0000000D-EBEE-45B7-A46D-AB8A83D67167}"/>
                      </c:ext>
                    </c:extLst>
                  </c15:dLbl>
                </c15:categoryFilterException>
                <c15:categoryFilterException>
                  <c15:sqref>'2.3'!$AA$22</c15:sqref>
                  <c15:dLbl>
                    <c:idx val="-1"/>
                    <c:delete val="1"/>
                    <c:extLst>
                      <c:ext uri="{CE6537A1-D6FC-4f65-9D91-7224C49458BB}"/>
                      <c:ext xmlns:c16="http://schemas.microsoft.com/office/drawing/2014/chart" uri="{C3380CC4-5D6E-409C-BE32-E72D297353CC}">
                        <c16:uniqueId val="{0000000E-EBEE-45B7-A46D-AB8A83D67167}"/>
                      </c:ext>
                    </c:extLst>
                  </c15:dLbl>
                </c15:categoryFilterException>
                <c15:categoryFilterException>
                  <c15:sqref>'2.3'!$AA$23</c15:sqref>
                  <c15:dLbl>
                    <c:idx val="-1"/>
                    <c:delete val="1"/>
                    <c:extLst>
                      <c:ext uri="{CE6537A1-D6FC-4f65-9D91-7224C49458BB}"/>
                      <c:ext xmlns:c16="http://schemas.microsoft.com/office/drawing/2014/chart" uri="{C3380CC4-5D6E-409C-BE32-E72D297353CC}">
                        <c16:uniqueId val="{0000000F-EBEE-45B7-A46D-AB8A83D67167}"/>
                      </c:ext>
                    </c:extLst>
                  </c15:dLbl>
                </c15:categoryFilterException>
                <c15:categoryFilterException>
                  <c15:sqref>'2.3'!$AA$24</c15:sqref>
                  <c15:dLbl>
                    <c:idx val="-1"/>
                    <c:delete val="1"/>
                    <c:extLst>
                      <c:ext uri="{CE6537A1-D6FC-4f65-9D91-7224C49458BB}"/>
                      <c:ext xmlns:c16="http://schemas.microsoft.com/office/drawing/2014/chart" uri="{C3380CC4-5D6E-409C-BE32-E72D297353CC}">
                        <c16:uniqueId val="{00000010-EBEE-45B7-A46D-AB8A83D67167}"/>
                      </c:ext>
                    </c:extLst>
                  </c15:dLbl>
                </c15:categoryFilterException>
                <c15:categoryFilterException>
                  <c15:sqref>'2.3'!$AA$25</c15:sqref>
                  <c15:dLbl>
                    <c:idx val="-1"/>
                    <c:delete val="1"/>
                    <c:extLst>
                      <c:ext uri="{CE6537A1-D6FC-4f65-9D91-7224C49458BB}"/>
                      <c:ext xmlns:c16="http://schemas.microsoft.com/office/drawing/2014/chart" uri="{C3380CC4-5D6E-409C-BE32-E72D297353CC}">
                        <c16:uniqueId val="{00000011-EBEE-45B7-A46D-AB8A83D67167}"/>
                      </c:ext>
                    </c:extLst>
                  </c15:dLbl>
                </c15:categoryFilterException>
                <c15:categoryFilterException>
                  <c15:sqref>'2.3'!$AA$26</c15:sqref>
                  <c15:dLbl>
                    <c:idx val="-1"/>
                    <c:delete val="1"/>
                    <c:extLst>
                      <c:ext uri="{CE6537A1-D6FC-4f65-9D91-7224C49458BB}"/>
                      <c:ext xmlns:c16="http://schemas.microsoft.com/office/drawing/2014/chart" uri="{C3380CC4-5D6E-409C-BE32-E72D297353CC}">
                        <c16:uniqueId val="{00000012-EBEE-45B7-A46D-AB8A83D67167}"/>
                      </c:ext>
                    </c:extLst>
                  </c15:dLbl>
                </c15:categoryFilterException>
                <c15:categoryFilterException>
                  <c15:sqref>'2.3'!$AA$27</c15:sqref>
                  <c15:dLbl>
                    <c:idx val="-1"/>
                    <c:delete val="1"/>
                    <c:extLst>
                      <c:ext uri="{CE6537A1-D6FC-4f65-9D91-7224C49458BB}"/>
                      <c:ext xmlns:c16="http://schemas.microsoft.com/office/drawing/2014/chart" uri="{C3380CC4-5D6E-409C-BE32-E72D297353CC}">
                        <c16:uniqueId val="{00000013-EBEE-45B7-A46D-AB8A83D67167}"/>
                      </c:ext>
                    </c:extLst>
                  </c15:dLbl>
                </c15:categoryFilterException>
                <c15:categoryFilterException>
                  <c15:sqref>'2.3'!$AA$28</c15:sqref>
                  <c15:dLbl>
                    <c:idx val="-1"/>
                    <c:delete val="1"/>
                    <c:extLst>
                      <c:ext uri="{CE6537A1-D6FC-4f65-9D91-7224C49458BB}"/>
                      <c:ext xmlns:c16="http://schemas.microsoft.com/office/drawing/2014/chart" uri="{C3380CC4-5D6E-409C-BE32-E72D297353CC}">
                        <c16:uniqueId val="{00000014-EBEE-45B7-A46D-AB8A83D67167}"/>
                      </c:ext>
                    </c:extLst>
                  </c15:dLbl>
                </c15:categoryFilterException>
                <c15:categoryFilterException>
                  <c15:sqref>'2.3'!$AA$29</c15:sqref>
                  <c15:dLbl>
                    <c:idx val="-1"/>
                    <c:delete val="1"/>
                    <c:extLst>
                      <c:ext uri="{CE6537A1-D6FC-4f65-9D91-7224C49458BB}"/>
                      <c:ext xmlns:c16="http://schemas.microsoft.com/office/drawing/2014/chart" uri="{C3380CC4-5D6E-409C-BE32-E72D297353CC}">
                        <c16:uniqueId val="{00000015-EBEE-45B7-A46D-AB8A83D67167}"/>
                      </c:ext>
                    </c:extLst>
                  </c15:dLbl>
                </c15:categoryFilterException>
                <c15:categoryFilterException>
                  <c15:sqref>'2.3'!$AA$30</c15:sqref>
                  <c15:dLbl>
                    <c:idx val="-1"/>
                    <c:delete val="1"/>
                    <c:extLst>
                      <c:ext uri="{CE6537A1-D6FC-4f65-9D91-7224C49458BB}"/>
                      <c:ext xmlns:c16="http://schemas.microsoft.com/office/drawing/2014/chart" uri="{C3380CC4-5D6E-409C-BE32-E72D297353CC}">
                        <c16:uniqueId val="{00000016-EBEE-45B7-A46D-AB8A83D67167}"/>
                      </c:ext>
                    </c:extLst>
                  </c15:dLbl>
                </c15:categoryFilterException>
                <c15:categoryFilterException>
                  <c15:sqref>'2.3'!$AA$31</c15:sqref>
                  <c15:dLbl>
                    <c:idx val="-1"/>
                    <c:delete val="1"/>
                    <c:extLst>
                      <c:ext uri="{CE6537A1-D6FC-4f65-9D91-7224C49458BB}"/>
                      <c:ext xmlns:c16="http://schemas.microsoft.com/office/drawing/2014/chart" uri="{C3380CC4-5D6E-409C-BE32-E72D297353CC}">
                        <c16:uniqueId val="{00000017-EBEE-45B7-A46D-AB8A83D67167}"/>
                      </c:ext>
                    </c:extLst>
                  </c15:dLbl>
                </c15:categoryFilterException>
                <c15:categoryFilterException>
                  <c15:sqref>'2.3'!$AA$32</c15:sqref>
                  <c15:dLbl>
                    <c:idx val="-1"/>
                    <c:delete val="1"/>
                    <c:extLst>
                      <c:ext uri="{CE6537A1-D6FC-4f65-9D91-7224C49458BB}"/>
                      <c:ext xmlns:c16="http://schemas.microsoft.com/office/drawing/2014/chart" uri="{C3380CC4-5D6E-409C-BE32-E72D297353CC}">
                        <c16:uniqueId val="{00000018-EBEE-45B7-A46D-AB8A83D67167}"/>
                      </c:ext>
                    </c:extLst>
                  </c15:dLbl>
                </c15:categoryFilterException>
                <c15:categoryFilterException>
                  <c15:sqref>'2.3'!$AA$33</c15:sqref>
                  <c15:dLbl>
                    <c:idx val="-1"/>
                    <c:delete val="1"/>
                    <c:extLst>
                      <c:ext uri="{CE6537A1-D6FC-4f65-9D91-7224C49458BB}"/>
                      <c:ext xmlns:c16="http://schemas.microsoft.com/office/drawing/2014/chart" uri="{C3380CC4-5D6E-409C-BE32-E72D297353CC}">
                        <c16:uniqueId val="{00000019-EBEE-45B7-A46D-AB8A83D67167}"/>
                      </c:ext>
                    </c:extLst>
                  </c15:dLbl>
                </c15:categoryFilterException>
                <c15:categoryFilterException>
                  <c15:sqref>'2.3'!$AA$34</c15:sqref>
                  <c15:dLbl>
                    <c:idx val="-1"/>
                    <c:delete val="1"/>
                    <c:extLst>
                      <c:ext uri="{CE6537A1-D6FC-4f65-9D91-7224C49458BB}"/>
                      <c:ext xmlns:c16="http://schemas.microsoft.com/office/drawing/2014/chart" uri="{C3380CC4-5D6E-409C-BE32-E72D297353CC}">
                        <c16:uniqueId val="{0000001A-EBEE-45B7-A46D-AB8A83D67167}"/>
                      </c:ext>
                    </c:extLst>
                  </c15:dLbl>
                </c15:categoryFilterException>
                <c15:categoryFilterException>
                  <c15:sqref>'2.3'!$AA$35</c15:sqref>
                  <c15:dLbl>
                    <c:idx val="-1"/>
                    <c:delete val="1"/>
                    <c:extLst>
                      <c:ext uri="{CE6537A1-D6FC-4f65-9D91-7224C49458BB}"/>
                      <c:ext xmlns:c16="http://schemas.microsoft.com/office/drawing/2014/chart" uri="{C3380CC4-5D6E-409C-BE32-E72D297353CC}">
                        <c16:uniqueId val="{0000001B-EBEE-45B7-A46D-AB8A83D67167}"/>
                      </c:ext>
                    </c:extLst>
                  </c15:dLbl>
                </c15:categoryFilterException>
              </c15:categoryFilterExceptions>
            </c:ext>
            <c:ext xmlns:c16="http://schemas.microsoft.com/office/drawing/2014/chart" uri="{C3380CC4-5D6E-409C-BE32-E72D297353CC}">
              <c16:uniqueId val="{00000001-9A4E-48B0-A912-6292D3590A5B}"/>
            </c:ext>
          </c:extLst>
        </c:ser>
        <c:ser>
          <c:idx val="3"/>
          <c:order val="2"/>
          <c:tx>
            <c:strRef>
              <c:f>'2.3'!$E$5:$O$5</c:f>
              <c:strCache>
                <c:ptCount val="1"/>
                <c:pt idx="0">
                  <c:v>Household Sector</c:v>
                </c:pt>
              </c:strCache>
            </c:strRef>
          </c:tx>
          <c:spPr>
            <a:solidFill>
              <a:srgbClr val="D4C029"/>
            </a:solidFill>
            <a:ln>
              <a:solidFill>
                <a:srgbClr val="D4C029">
                  <a:alpha val="94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9-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2-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28-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27-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1-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2-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4-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2-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E-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0F-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E-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D-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F-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0-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D-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E-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F-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C-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E-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F-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3F-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E-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F-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D-F69C-4D8A-B5E7-D4F0764B6B0D}"/>
                </c:ext>
              </c:extLst>
            </c:dLbl>
            <c:dLbl>
              <c:idx val="27"/>
              <c:delete val="1"/>
              <c:extLst>
                <c:ext xmlns:c15="http://schemas.microsoft.com/office/drawing/2012/chart" uri="{CE6537A1-D6FC-4f65-9D91-7224C49458BB}"/>
                <c:ext xmlns:c16="http://schemas.microsoft.com/office/drawing/2014/chart" uri="{C3380CC4-5D6E-409C-BE32-E72D297353CC}">
                  <c16:uniqueId val="{0000003E-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3D-7740-4415-9627-9C12DDE10164}"/>
                </c:ext>
              </c:extLst>
            </c:dLbl>
            <c:dLbl>
              <c:idx val="29"/>
              <c:layout>
                <c:manualLayout>
                  <c:x val="-1.4662756598240576E-2"/>
                  <c:y val="6.06060606060613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'2.3'!$A$16:$B$65</c15:sqref>
                  </c15:fullRef>
                </c:ext>
              </c:extLst>
              <c:f>'2.3'!$A$36:$B$65</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'2.3'!$E$16:$E$65</c15:sqref>
                  </c15:fullRef>
                </c:ext>
              </c:extLst>
              <c:f>'2.3'!$E$36:$E$65</c:f>
              <c:numCache>
                <c:formatCode>#,##0.00;[Red]#,##0.00</c:formatCode>
                <c:ptCount val="30"/>
                <c:pt idx="0">
                  <c:v>2952.87</c:v>
                </c:pt>
                <c:pt idx="1">
                  <c:v>2946.1400000000003</c:v>
                </c:pt>
                <c:pt idx="2">
                  <c:v>2931.74</c:v>
                </c:pt>
                <c:pt idx="3">
                  <c:v>2910.13</c:v>
                </c:pt>
                <c:pt idx="4">
                  <c:v>2895.3</c:v>
                </c:pt>
                <c:pt idx="5">
                  <c:v>2972.8500000000004</c:v>
                </c:pt>
                <c:pt idx="6">
                  <c:v>3100.43</c:v>
                </c:pt>
                <c:pt idx="7">
                  <c:v>3079.82</c:v>
                </c:pt>
                <c:pt idx="8">
                  <c:v>3033.167348050255</c:v>
                </c:pt>
                <c:pt idx="9">
                  <c:v>2957.3874201997178</c:v>
                </c:pt>
                <c:pt idx="10">
                  <c:v>2849.3304475569166</c:v>
                </c:pt>
                <c:pt idx="11">
                  <c:v>2834.923017134065</c:v>
                </c:pt>
                <c:pt idx="12">
                  <c:v>2818.3772642437852</c:v>
                </c:pt>
                <c:pt idx="13">
                  <c:v>2825.636524042834</c:v>
                </c:pt>
                <c:pt idx="14">
                  <c:v>2798.0810440115802</c:v>
                </c:pt>
                <c:pt idx="15">
                  <c:v>2774.8645072136096</c:v>
                </c:pt>
                <c:pt idx="16">
                  <c:v>2773.3276925014861</c:v>
                </c:pt>
                <c:pt idx="17">
                  <c:v>2782.313991581927</c:v>
                </c:pt>
                <c:pt idx="18">
                  <c:v>2798.441209036474</c:v>
                </c:pt>
                <c:pt idx="19">
                  <c:v>2811.4973259814628</c:v>
                </c:pt>
                <c:pt idx="20">
                  <c:v>2827.5933088724137</c:v>
                </c:pt>
                <c:pt idx="21">
                  <c:v>2846.466485085889</c:v>
                </c:pt>
                <c:pt idx="22">
                  <c:v>2895.7521004112086</c:v>
                </c:pt>
                <c:pt idx="23">
                  <c:v>2927.067387817347</c:v>
                </c:pt>
                <c:pt idx="24">
                  <c:v>2924.8986296081989</c:v>
                </c:pt>
                <c:pt idx="25">
                  <c:v>2970.575129387254</c:v>
                </c:pt>
                <c:pt idx="26">
                  <c:v>3010.8329087055454</c:v>
                </c:pt>
                <c:pt idx="27">
                  <c:v>3027.1553505600023</c:v>
                </c:pt>
                <c:pt idx="28">
                  <c:v>2999.5304966390431</c:v>
                </c:pt>
                <c:pt idx="29">
                  <c:v>3022.0583633230681</c:v>
                </c:pt>
              </c:numCache>
            </c:numRef>
          </c:val>
          <c:extLst>
            <c:ext xmlns:c15="http://schemas.microsoft.com/office/drawing/2012/chart" uri="{02D57815-91ED-43cb-92C2-25804820EDAC}">
              <c15:categoryFilterExceptions>
                <c15:categoryFilterException>
                  <c15:sqref>'2.3'!$E$20</c15:sqref>
                  <c15:dLbl>
                    <c:idx val="-1"/>
                    <c:delete val="1"/>
                    <c:extLst>
                      <c:ext uri="{CE6537A1-D6FC-4f65-9D91-7224C49458BB}"/>
                      <c:ext xmlns:c16="http://schemas.microsoft.com/office/drawing/2014/chart" uri="{C3380CC4-5D6E-409C-BE32-E72D297353CC}">
                        <c16:uniqueId val="{0000001C-EBEE-45B7-A46D-AB8A83D67167}"/>
                      </c:ext>
                    </c:extLst>
                  </c15:dLbl>
                </c15:categoryFilterException>
                <c15:categoryFilterException>
                  <c15:sqref>'2.3'!$E$21</c15:sqref>
                  <c15:dLbl>
                    <c:idx val="-1"/>
                    <c:delete val="1"/>
                    <c:extLst>
                      <c:ext uri="{CE6537A1-D6FC-4f65-9D91-7224C49458BB}"/>
                      <c:ext xmlns:c16="http://schemas.microsoft.com/office/drawing/2014/chart" uri="{C3380CC4-5D6E-409C-BE32-E72D297353CC}">
                        <c16:uniqueId val="{0000001D-EBEE-45B7-A46D-AB8A83D67167}"/>
                      </c:ext>
                    </c:extLst>
                  </c15:dLbl>
                </c15:categoryFilterException>
                <c15:categoryFilterException>
                  <c15:sqref>'2.3'!$E$22</c15:sqref>
                  <c15:dLbl>
                    <c:idx val="-1"/>
                    <c:delete val="1"/>
                    <c:extLst>
                      <c:ext uri="{CE6537A1-D6FC-4f65-9D91-7224C49458BB}"/>
                      <c:ext xmlns:c16="http://schemas.microsoft.com/office/drawing/2014/chart" uri="{C3380CC4-5D6E-409C-BE32-E72D297353CC}">
                        <c16:uniqueId val="{0000001E-EBEE-45B7-A46D-AB8A83D67167}"/>
                      </c:ext>
                    </c:extLst>
                  </c15:dLbl>
                </c15:categoryFilterException>
                <c15:categoryFilterException>
                  <c15:sqref>'2.3'!$E$23</c15:sqref>
                  <c15:dLbl>
                    <c:idx val="-1"/>
                    <c:delete val="1"/>
                    <c:extLst>
                      <c:ext uri="{CE6537A1-D6FC-4f65-9D91-7224C49458BB}"/>
                      <c:ext xmlns:c16="http://schemas.microsoft.com/office/drawing/2014/chart" uri="{C3380CC4-5D6E-409C-BE32-E72D297353CC}">
                        <c16:uniqueId val="{0000001F-EBEE-45B7-A46D-AB8A83D67167}"/>
                      </c:ext>
                    </c:extLst>
                  </c15:dLbl>
                </c15:categoryFilterException>
                <c15:categoryFilterException>
                  <c15:sqref>'2.3'!$E$24</c15:sqref>
                  <c15:dLbl>
                    <c:idx val="-1"/>
                    <c:delete val="1"/>
                    <c:extLst>
                      <c:ext uri="{CE6537A1-D6FC-4f65-9D91-7224C49458BB}"/>
                      <c:ext xmlns:c16="http://schemas.microsoft.com/office/drawing/2014/chart" uri="{C3380CC4-5D6E-409C-BE32-E72D297353CC}">
                        <c16:uniqueId val="{00000020-EBEE-45B7-A46D-AB8A83D67167}"/>
                      </c:ext>
                    </c:extLst>
                  </c15:dLbl>
                </c15:categoryFilterException>
                <c15:categoryFilterException>
                  <c15:sqref>'2.3'!$E$25</c15:sqref>
                  <c15:dLbl>
                    <c:idx val="-1"/>
                    <c:delete val="1"/>
                    <c:extLst>
                      <c:ext uri="{CE6537A1-D6FC-4f65-9D91-7224C49458BB}"/>
                      <c:ext xmlns:c16="http://schemas.microsoft.com/office/drawing/2014/chart" uri="{C3380CC4-5D6E-409C-BE32-E72D297353CC}">
                        <c16:uniqueId val="{00000021-EBEE-45B7-A46D-AB8A83D67167}"/>
                      </c:ext>
                    </c:extLst>
                  </c15:dLbl>
                </c15:categoryFilterException>
                <c15:categoryFilterException>
                  <c15:sqref>'2.3'!$E$26</c15:sqref>
                  <c15:dLbl>
                    <c:idx val="-1"/>
                    <c:delete val="1"/>
                    <c:extLst>
                      <c:ext uri="{CE6537A1-D6FC-4f65-9D91-7224C49458BB}"/>
                      <c:ext xmlns:c16="http://schemas.microsoft.com/office/drawing/2014/chart" uri="{C3380CC4-5D6E-409C-BE32-E72D297353CC}">
                        <c16:uniqueId val="{00000022-EBEE-45B7-A46D-AB8A83D67167}"/>
                      </c:ext>
                    </c:extLst>
                  </c15:dLbl>
                </c15:categoryFilterException>
                <c15:categoryFilterException>
                  <c15:sqref>'2.3'!$E$27</c15:sqref>
                  <c15:dLbl>
                    <c:idx val="-1"/>
                    <c:delete val="1"/>
                    <c:extLst>
                      <c:ext uri="{CE6537A1-D6FC-4f65-9D91-7224C49458BB}"/>
                      <c:ext xmlns:c16="http://schemas.microsoft.com/office/drawing/2014/chart" uri="{C3380CC4-5D6E-409C-BE32-E72D297353CC}">
                        <c16:uniqueId val="{00000023-EBEE-45B7-A46D-AB8A83D67167}"/>
                      </c:ext>
                    </c:extLst>
                  </c15:dLbl>
                </c15:categoryFilterException>
                <c15:categoryFilterException>
                  <c15:sqref>'2.3'!$E$28</c15:sqref>
                  <c15:dLbl>
                    <c:idx val="-1"/>
                    <c:delete val="1"/>
                    <c:extLst>
                      <c:ext uri="{CE6537A1-D6FC-4f65-9D91-7224C49458BB}"/>
                      <c:ext xmlns:c16="http://schemas.microsoft.com/office/drawing/2014/chart" uri="{C3380CC4-5D6E-409C-BE32-E72D297353CC}">
                        <c16:uniqueId val="{00000024-EBEE-45B7-A46D-AB8A83D67167}"/>
                      </c:ext>
                    </c:extLst>
                  </c15:dLbl>
                </c15:categoryFilterException>
                <c15:categoryFilterException>
                  <c15:sqref>'2.3'!$E$29</c15:sqref>
                  <c15:dLbl>
                    <c:idx val="-1"/>
                    <c:delete val="1"/>
                    <c:extLst>
                      <c:ext uri="{CE6537A1-D6FC-4f65-9D91-7224C49458BB}"/>
                      <c:ext xmlns:c16="http://schemas.microsoft.com/office/drawing/2014/chart" uri="{C3380CC4-5D6E-409C-BE32-E72D297353CC}">
                        <c16:uniqueId val="{00000025-EBEE-45B7-A46D-AB8A83D67167}"/>
                      </c:ext>
                    </c:extLst>
                  </c15:dLbl>
                </c15:categoryFilterException>
                <c15:categoryFilterException>
                  <c15:sqref>'2.3'!$E$30</c15:sqref>
                  <c15:dLbl>
                    <c:idx val="-1"/>
                    <c:delete val="1"/>
                    <c:extLst>
                      <c:ext uri="{CE6537A1-D6FC-4f65-9D91-7224C49458BB}"/>
                      <c:ext xmlns:c16="http://schemas.microsoft.com/office/drawing/2014/chart" uri="{C3380CC4-5D6E-409C-BE32-E72D297353CC}">
                        <c16:uniqueId val="{00000026-EBEE-45B7-A46D-AB8A83D67167}"/>
                      </c:ext>
                    </c:extLst>
                  </c15:dLbl>
                </c15:categoryFilterException>
                <c15:categoryFilterException>
                  <c15:sqref>'2.3'!$E$31</c15:sqref>
                  <c15:dLbl>
                    <c:idx val="-1"/>
                    <c:delete val="1"/>
                    <c:extLst>
                      <c:ext uri="{CE6537A1-D6FC-4f65-9D91-7224C49458BB}"/>
                      <c:ext xmlns:c16="http://schemas.microsoft.com/office/drawing/2014/chart" uri="{C3380CC4-5D6E-409C-BE32-E72D297353CC}">
                        <c16:uniqueId val="{00000027-EBEE-45B7-A46D-AB8A83D67167}"/>
                      </c:ext>
                    </c:extLst>
                  </c15:dLbl>
                </c15:categoryFilterException>
                <c15:categoryFilterException>
                  <c15:sqref>'2.3'!$E$32</c15:sqref>
                  <c15:dLbl>
                    <c:idx val="-1"/>
                    <c:delete val="1"/>
                    <c:extLst>
                      <c:ext uri="{CE6537A1-D6FC-4f65-9D91-7224C49458BB}"/>
                      <c:ext xmlns:c16="http://schemas.microsoft.com/office/drawing/2014/chart" uri="{C3380CC4-5D6E-409C-BE32-E72D297353CC}">
                        <c16:uniqueId val="{00000028-EBEE-45B7-A46D-AB8A83D67167}"/>
                      </c:ext>
                    </c:extLst>
                  </c15:dLbl>
                </c15:categoryFilterException>
                <c15:categoryFilterException>
                  <c15:sqref>'2.3'!$E$33</c15:sqref>
                  <c15:dLbl>
                    <c:idx val="-1"/>
                    <c:delete val="1"/>
                    <c:extLst>
                      <c:ext uri="{CE6537A1-D6FC-4f65-9D91-7224C49458BB}"/>
                      <c:ext xmlns:c16="http://schemas.microsoft.com/office/drawing/2014/chart" uri="{C3380CC4-5D6E-409C-BE32-E72D297353CC}">
                        <c16:uniqueId val="{00000029-EBEE-45B7-A46D-AB8A83D67167}"/>
                      </c:ext>
                    </c:extLst>
                  </c15:dLbl>
                </c15:categoryFilterException>
                <c15:categoryFilterException>
                  <c15:sqref>'2.3'!$E$34</c15:sqref>
                  <c15:dLbl>
                    <c:idx val="-1"/>
                    <c:delete val="1"/>
                    <c:extLst>
                      <c:ext uri="{CE6537A1-D6FC-4f65-9D91-7224C49458BB}"/>
                      <c:ext xmlns:c16="http://schemas.microsoft.com/office/drawing/2014/chart" uri="{C3380CC4-5D6E-409C-BE32-E72D297353CC}">
                        <c16:uniqueId val="{0000002A-EBEE-45B7-A46D-AB8A83D67167}"/>
                      </c:ext>
                    </c:extLst>
                  </c15:dLbl>
                </c15:categoryFilterException>
                <c15:categoryFilterException>
                  <c15:sqref>'2.3'!$E$35</c15:sqref>
                  <c15:dLbl>
                    <c:idx val="-1"/>
                    <c:delete val="1"/>
                    <c:extLst>
                      <c:ext uri="{CE6537A1-D6FC-4f65-9D91-7224C49458BB}"/>
                      <c:ext xmlns:c16="http://schemas.microsoft.com/office/drawing/2014/chart" uri="{C3380CC4-5D6E-409C-BE32-E72D297353CC}">
                        <c16:uniqueId val="{0000002B-EBEE-45B7-A46D-AB8A83D67167}"/>
                      </c:ext>
                    </c:extLst>
                  </c15:dLbl>
                </c15:categoryFilterException>
              </c15:categoryFilterExceptions>
            </c:ext>
            <c:ext xmlns:c16="http://schemas.microsoft.com/office/drawing/2014/chart" uri="{C3380CC4-5D6E-409C-BE32-E72D297353CC}">
              <c16:uniqueId val="{00000003-9A4E-48B0-A912-6292D3590A5B}"/>
            </c:ext>
          </c:extLst>
        </c:ser>
        <c:ser>
          <c:idx val="4"/>
          <c:order val="3"/>
          <c:tx>
            <c:strRef>
              <c:f>'2.3'!$P$5:$Z$5</c:f>
              <c:strCache>
                <c:ptCount val="1"/>
                <c:pt idx="0">
                  <c:v>Non-household Sector</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4-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15-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14-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1-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2-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1-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1-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D-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D-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D-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E-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D-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1E-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E-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31-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32-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E-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C-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D-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E-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D-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D-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E-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D-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2-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'2.3'!$A$16:$B$65</c15:sqref>
                  </c15:fullRef>
                </c:ext>
              </c:extLst>
              <c:f>'2.3'!$A$36:$B$65</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'2.3'!$P$16:$P$65</c15:sqref>
                  </c15:fullRef>
                </c:ext>
              </c:extLst>
              <c:f>'2.3'!$P$36:$P$65</c:f>
              <c:numCache>
                <c:formatCode>#,##0.00;[Red]#,##0.00</c:formatCode>
                <c:ptCount val="30"/>
                <c:pt idx="0">
                  <c:v>2008.0199999999998</c:v>
                </c:pt>
                <c:pt idx="1">
                  <c:v>2269.7599999999998</c:v>
                </c:pt>
                <c:pt idx="2">
                  <c:v>2305.1800000000003</c:v>
                </c:pt>
                <c:pt idx="3">
                  <c:v>2366.9600000000005</c:v>
                </c:pt>
                <c:pt idx="4">
                  <c:v>2304.0300000000002</c:v>
                </c:pt>
                <c:pt idx="5">
                  <c:v>2304.2200000000003</c:v>
                </c:pt>
                <c:pt idx="6">
                  <c:v>2293.7299999999996</c:v>
                </c:pt>
                <c:pt idx="7">
                  <c:v>2256.35</c:v>
                </c:pt>
                <c:pt idx="8">
                  <c:v>2290.9368591032985</c:v>
                </c:pt>
                <c:pt idx="9">
                  <c:v>2275.6786674824793</c:v>
                </c:pt>
                <c:pt idx="10">
                  <c:v>2336.7845018610351</c:v>
                </c:pt>
                <c:pt idx="11">
                  <c:v>2405.2189174439068</c:v>
                </c:pt>
                <c:pt idx="12">
                  <c:v>2345.3553435177591</c:v>
                </c:pt>
                <c:pt idx="13">
                  <c:v>2426.1788231118239</c:v>
                </c:pt>
                <c:pt idx="14">
                  <c:v>2382.4102719255575</c:v>
                </c:pt>
                <c:pt idx="15">
                  <c:v>2546.9071080838985</c:v>
                </c:pt>
                <c:pt idx="16">
                  <c:v>2599.4708472769526</c:v>
                </c:pt>
                <c:pt idx="17">
                  <c:v>2707.8475366709963</c:v>
                </c:pt>
                <c:pt idx="18">
                  <c:v>2822.0437601567924</c:v>
                </c:pt>
                <c:pt idx="19">
                  <c:v>2770.860192402929</c:v>
                </c:pt>
                <c:pt idx="20">
                  <c:v>2640.20677400158</c:v>
                </c:pt>
                <c:pt idx="21">
                  <c:v>2806.551542068129</c:v>
                </c:pt>
                <c:pt idx="22">
                  <c:v>2946.0234589055149</c:v>
                </c:pt>
                <c:pt idx="23">
                  <c:v>2868.7368219901859</c:v>
                </c:pt>
                <c:pt idx="24">
                  <c:v>2761.4303918837008</c:v>
                </c:pt>
                <c:pt idx="25">
                  <c:v>2922.4155036738084</c:v>
                </c:pt>
                <c:pt idx="26">
                  <c:v>2804.0259529689397</c:v>
                </c:pt>
                <c:pt idx="27">
                  <c:v>2807.5200320042741</c:v>
                </c:pt>
                <c:pt idx="28">
                  <c:v>2846.5280085916779</c:v>
                </c:pt>
                <c:pt idx="29">
                  <c:v>2715.8851405285068</c:v>
                </c:pt>
              </c:numCache>
            </c:numRef>
          </c:val>
          <c:extLst>
            <c:ext xmlns:c15="http://schemas.microsoft.com/office/drawing/2012/chart" uri="{02D57815-91ED-43cb-92C2-25804820EDAC}">
              <c15:categoryFilterExceptions>
                <c15:categoryFilterException>
                  <c15:sqref>'2.3'!$P$20</c15:sqref>
                  <c15:dLbl>
                    <c:idx val="-1"/>
                    <c:delete val="1"/>
                    <c:extLst>
                      <c:ext uri="{CE6537A1-D6FC-4f65-9D91-7224C49458BB}"/>
                      <c:ext xmlns:c16="http://schemas.microsoft.com/office/drawing/2014/chart" uri="{C3380CC4-5D6E-409C-BE32-E72D297353CC}">
                        <c16:uniqueId val="{0000002C-EBEE-45B7-A46D-AB8A83D67167}"/>
                      </c:ext>
                    </c:extLst>
                  </c15:dLbl>
                </c15:categoryFilterException>
                <c15:categoryFilterException>
                  <c15:sqref>'2.3'!$P$21</c15:sqref>
                  <c15:dLbl>
                    <c:idx val="-1"/>
                    <c:delete val="1"/>
                    <c:extLst>
                      <c:ext uri="{CE6537A1-D6FC-4f65-9D91-7224C49458BB}"/>
                      <c:ext xmlns:c16="http://schemas.microsoft.com/office/drawing/2014/chart" uri="{C3380CC4-5D6E-409C-BE32-E72D297353CC}">
                        <c16:uniqueId val="{0000002D-EBEE-45B7-A46D-AB8A83D67167}"/>
                      </c:ext>
                    </c:extLst>
                  </c15:dLbl>
                </c15:categoryFilterException>
                <c15:categoryFilterException>
                  <c15:sqref>'2.3'!$P$22</c15:sqref>
                  <c15:dLbl>
                    <c:idx val="-1"/>
                    <c:delete val="1"/>
                    <c:extLst>
                      <c:ext uri="{CE6537A1-D6FC-4f65-9D91-7224C49458BB}"/>
                      <c:ext xmlns:c16="http://schemas.microsoft.com/office/drawing/2014/chart" uri="{C3380CC4-5D6E-409C-BE32-E72D297353CC}">
                        <c16:uniqueId val="{0000002E-EBEE-45B7-A46D-AB8A83D67167}"/>
                      </c:ext>
                    </c:extLst>
                  </c15:dLbl>
                </c15:categoryFilterException>
                <c15:categoryFilterException>
                  <c15:sqref>'2.3'!$P$23</c15:sqref>
                  <c15:dLbl>
                    <c:idx val="-1"/>
                    <c:delete val="1"/>
                    <c:extLst>
                      <c:ext uri="{CE6537A1-D6FC-4f65-9D91-7224C49458BB}"/>
                      <c:ext xmlns:c16="http://schemas.microsoft.com/office/drawing/2014/chart" uri="{C3380CC4-5D6E-409C-BE32-E72D297353CC}">
                        <c16:uniqueId val="{0000002F-EBEE-45B7-A46D-AB8A83D67167}"/>
                      </c:ext>
                    </c:extLst>
                  </c15:dLbl>
                </c15:categoryFilterException>
                <c15:categoryFilterException>
                  <c15:sqref>'2.3'!$P$24</c15:sqref>
                  <c15:dLbl>
                    <c:idx val="-1"/>
                    <c:delete val="1"/>
                    <c:extLst>
                      <c:ext uri="{CE6537A1-D6FC-4f65-9D91-7224C49458BB}"/>
                      <c:ext xmlns:c16="http://schemas.microsoft.com/office/drawing/2014/chart" uri="{C3380CC4-5D6E-409C-BE32-E72D297353CC}">
                        <c16:uniqueId val="{00000030-EBEE-45B7-A46D-AB8A83D67167}"/>
                      </c:ext>
                    </c:extLst>
                  </c15:dLbl>
                </c15:categoryFilterException>
                <c15:categoryFilterException>
                  <c15:sqref>'2.3'!$P$25</c15:sqref>
                  <c15:dLbl>
                    <c:idx val="-1"/>
                    <c:delete val="1"/>
                    <c:extLst>
                      <c:ext uri="{CE6537A1-D6FC-4f65-9D91-7224C49458BB}"/>
                      <c:ext xmlns:c16="http://schemas.microsoft.com/office/drawing/2014/chart" uri="{C3380CC4-5D6E-409C-BE32-E72D297353CC}">
                        <c16:uniqueId val="{00000031-EBEE-45B7-A46D-AB8A83D67167}"/>
                      </c:ext>
                    </c:extLst>
                  </c15:dLbl>
                </c15:categoryFilterException>
                <c15:categoryFilterException>
                  <c15:sqref>'2.3'!$P$26</c15:sqref>
                  <c15:dLbl>
                    <c:idx val="-1"/>
                    <c:delete val="1"/>
                    <c:extLst>
                      <c:ext uri="{CE6537A1-D6FC-4f65-9D91-7224C49458BB}"/>
                      <c:ext xmlns:c16="http://schemas.microsoft.com/office/drawing/2014/chart" uri="{C3380CC4-5D6E-409C-BE32-E72D297353CC}">
                        <c16:uniqueId val="{00000032-EBEE-45B7-A46D-AB8A83D67167}"/>
                      </c:ext>
                    </c:extLst>
                  </c15:dLbl>
                </c15:categoryFilterException>
                <c15:categoryFilterException>
                  <c15:sqref>'2.3'!$P$27</c15:sqref>
                  <c15:dLbl>
                    <c:idx val="-1"/>
                    <c:delete val="1"/>
                    <c:extLst>
                      <c:ext uri="{CE6537A1-D6FC-4f65-9D91-7224C49458BB}"/>
                      <c:ext xmlns:c16="http://schemas.microsoft.com/office/drawing/2014/chart" uri="{C3380CC4-5D6E-409C-BE32-E72D297353CC}">
                        <c16:uniqueId val="{00000033-EBEE-45B7-A46D-AB8A83D67167}"/>
                      </c:ext>
                    </c:extLst>
                  </c15:dLbl>
                </c15:categoryFilterException>
                <c15:categoryFilterException>
                  <c15:sqref>'2.3'!$P$28</c15:sqref>
                  <c15:dLbl>
                    <c:idx val="-1"/>
                    <c:delete val="1"/>
                    <c:extLst>
                      <c:ext uri="{CE6537A1-D6FC-4f65-9D91-7224C49458BB}"/>
                      <c:ext xmlns:c16="http://schemas.microsoft.com/office/drawing/2014/chart" uri="{C3380CC4-5D6E-409C-BE32-E72D297353CC}">
                        <c16:uniqueId val="{00000034-EBEE-45B7-A46D-AB8A83D67167}"/>
                      </c:ext>
                    </c:extLst>
                  </c15:dLbl>
                </c15:categoryFilterException>
                <c15:categoryFilterException>
                  <c15:sqref>'2.3'!$P$29</c15:sqref>
                  <c15:dLbl>
                    <c:idx val="-1"/>
                    <c:delete val="1"/>
                    <c:extLst>
                      <c:ext uri="{CE6537A1-D6FC-4f65-9D91-7224C49458BB}"/>
                      <c:ext xmlns:c16="http://schemas.microsoft.com/office/drawing/2014/chart" uri="{C3380CC4-5D6E-409C-BE32-E72D297353CC}">
                        <c16:uniqueId val="{00000035-EBEE-45B7-A46D-AB8A83D67167}"/>
                      </c:ext>
                    </c:extLst>
                  </c15:dLbl>
                </c15:categoryFilterException>
                <c15:categoryFilterException>
                  <c15:sqref>'2.3'!$P$30</c15:sqref>
                  <c15:dLbl>
                    <c:idx val="-1"/>
                    <c:delete val="1"/>
                    <c:extLst>
                      <c:ext uri="{CE6537A1-D6FC-4f65-9D91-7224C49458BB}"/>
                      <c:ext xmlns:c16="http://schemas.microsoft.com/office/drawing/2014/chart" uri="{C3380CC4-5D6E-409C-BE32-E72D297353CC}">
                        <c16:uniqueId val="{00000036-EBEE-45B7-A46D-AB8A83D67167}"/>
                      </c:ext>
                    </c:extLst>
                  </c15:dLbl>
                </c15:categoryFilterException>
                <c15:categoryFilterException>
                  <c15:sqref>'2.3'!$P$31</c15:sqref>
                  <c15:dLbl>
                    <c:idx val="-1"/>
                    <c:delete val="1"/>
                    <c:extLst>
                      <c:ext uri="{CE6537A1-D6FC-4f65-9D91-7224C49458BB}"/>
                      <c:ext xmlns:c16="http://schemas.microsoft.com/office/drawing/2014/chart" uri="{C3380CC4-5D6E-409C-BE32-E72D297353CC}">
                        <c16:uniqueId val="{00000037-EBEE-45B7-A46D-AB8A83D67167}"/>
                      </c:ext>
                    </c:extLst>
                  </c15:dLbl>
                </c15:categoryFilterException>
                <c15:categoryFilterException>
                  <c15:sqref>'2.3'!$P$32</c15:sqref>
                  <c15:dLbl>
                    <c:idx val="-1"/>
                    <c:delete val="1"/>
                    <c:extLst>
                      <c:ext uri="{CE6537A1-D6FC-4f65-9D91-7224C49458BB}"/>
                      <c:ext xmlns:c16="http://schemas.microsoft.com/office/drawing/2014/chart" uri="{C3380CC4-5D6E-409C-BE32-E72D297353CC}">
                        <c16:uniqueId val="{00000038-EBEE-45B7-A46D-AB8A83D67167}"/>
                      </c:ext>
                    </c:extLst>
                  </c15:dLbl>
                </c15:categoryFilterException>
                <c15:categoryFilterException>
                  <c15:sqref>'2.3'!$P$33</c15:sqref>
                  <c15:dLbl>
                    <c:idx val="-1"/>
                    <c:delete val="1"/>
                    <c:extLst>
                      <c:ext uri="{CE6537A1-D6FC-4f65-9D91-7224C49458BB}"/>
                      <c:ext xmlns:c16="http://schemas.microsoft.com/office/drawing/2014/chart" uri="{C3380CC4-5D6E-409C-BE32-E72D297353CC}">
                        <c16:uniqueId val="{00000039-EBEE-45B7-A46D-AB8A83D67167}"/>
                      </c:ext>
                    </c:extLst>
                  </c15:dLbl>
                </c15:categoryFilterException>
                <c15:categoryFilterException>
                  <c15:sqref>'2.3'!$P$34</c15:sqref>
                  <c15:dLbl>
                    <c:idx val="-1"/>
                    <c:delete val="1"/>
                    <c:extLst>
                      <c:ext uri="{CE6537A1-D6FC-4f65-9D91-7224C49458BB}"/>
                      <c:ext xmlns:c16="http://schemas.microsoft.com/office/drawing/2014/chart" uri="{C3380CC4-5D6E-409C-BE32-E72D297353CC}">
                        <c16:uniqueId val="{0000003A-EBEE-45B7-A46D-AB8A83D67167}"/>
                      </c:ext>
                    </c:extLst>
                  </c15:dLbl>
                </c15:categoryFilterException>
                <c15:categoryFilterException>
                  <c15:sqref>'2.3'!$P$35</c15:sqref>
                  <c15:dLbl>
                    <c:idx val="-1"/>
                    <c:delete val="1"/>
                    <c:extLst>
                      <c:ext uri="{CE6537A1-D6FC-4f65-9D91-7224C49458BB}"/>
                      <c:ext xmlns:c16="http://schemas.microsoft.com/office/drawing/2014/chart" uri="{C3380CC4-5D6E-409C-BE32-E72D297353CC}">
                        <c16:uniqueId val="{0000003B-EBEE-45B7-A46D-AB8A83D67167}"/>
                      </c:ext>
                    </c:extLst>
                  </c15:dLbl>
                </c15:categoryFilterException>
              </c15:categoryFilterExceptions>
            </c:ext>
            <c:ext xmlns:c16="http://schemas.microsoft.com/office/drawing/2014/chart" uri="{C3380CC4-5D6E-409C-BE32-E72D297353CC}">
              <c16:uniqueId val="{00000005-9A4E-48B0-A912-6292D3590A5B}"/>
            </c:ext>
          </c:extLst>
        </c:ser>
        <c:dLbls>
          <c:showLegendKey val="0"/>
          <c:showVal val="1"/>
          <c:showCatName val="0"/>
          <c:showSerName val="0"/>
          <c:showPercent val="0"/>
          <c:showBubbleSize val="0"/>
        </c:dLbls>
        <c:gapWidth val="74"/>
        <c:overlap val="100"/>
        <c:axId val="486512032"/>
        <c:axId val="486512424"/>
      </c:barChart>
      <c:lineChart>
        <c:grouping val="standard"/>
        <c:varyColors val="0"/>
        <c:ser>
          <c:idx val="0"/>
          <c:order val="0"/>
          <c:tx>
            <c:strRef>
              <c:f>'2.3'!$C$3:$AA$3</c:f>
              <c:strCache>
                <c:ptCount val="1"/>
                <c:pt idx="0">
                  <c:v>Loans and Advances / Financing</c:v>
                </c:pt>
              </c:strCache>
            </c:strRef>
          </c:tx>
          <c:spPr>
            <a:ln w="22225">
              <a:solidFill>
                <a:schemeClr val="tx1">
                  <a:lumMod val="75000"/>
                  <a:lumOff val="25000"/>
                </a:schemeClr>
              </a:solidFill>
            </a:ln>
          </c:spPr>
          <c:marker>
            <c:symbol val="square"/>
            <c:size val="5"/>
            <c:spPr>
              <a:solidFill>
                <a:schemeClr val="tx1">
                  <a:lumMod val="75000"/>
                  <a:lumOff val="25000"/>
                </a:schemeClr>
              </a:solidFill>
              <a:ln>
                <a:solidFill>
                  <a:schemeClr val="tx1">
                    <a:lumMod val="75000"/>
                    <a:lumOff val="2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6-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03-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2-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6655-4E38-9430-8228A38E1453}"/>
                </c:ext>
              </c:extLst>
            </c:dLbl>
            <c:dLbl>
              <c:idx val="5"/>
              <c:delete val="1"/>
              <c:extLst>
                <c:ext xmlns:c15="http://schemas.microsoft.com/office/drawing/2012/chart" uri="{CE6537A1-D6FC-4f65-9D91-7224C49458BB}"/>
                <c:ext xmlns:c16="http://schemas.microsoft.com/office/drawing/2014/chart" uri="{C3380CC4-5D6E-409C-BE32-E72D297353CC}">
                  <c16:uniqueId val="{00000002-FF8B-413D-850E-22794D910F78}"/>
                </c:ext>
              </c:extLst>
            </c:dLbl>
            <c:dLbl>
              <c:idx val="6"/>
              <c:delete val="1"/>
              <c:extLst>
                <c:ext xmlns:c15="http://schemas.microsoft.com/office/drawing/2012/chart" uri="{CE6537A1-D6FC-4f65-9D91-7224C49458BB}"/>
                <c:ext xmlns:c16="http://schemas.microsoft.com/office/drawing/2014/chart" uri="{C3380CC4-5D6E-409C-BE32-E72D297353CC}">
                  <c16:uniqueId val="{00000010-97E4-4EC7-A8D1-67EE1357FEC7}"/>
                </c:ext>
              </c:extLst>
            </c:dLbl>
            <c:dLbl>
              <c:idx val="7"/>
              <c:delete val="1"/>
              <c:extLst>
                <c:ext xmlns:c15="http://schemas.microsoft.com/office/drawing/2012/chart" uri="{CE6537A1-D6FC-4f65-9D91-7224C49458BB}"/>
                <c:ext xmlns:c16="http://schemas.microsoft.com/office/drawing/2014/chart" uri="{C3380CC4-5D6E-409C-BE32-E72D297353CC}">
                  <c16:uniqueId val="{00000010-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0-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C-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C-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C-E454-47EF-AE3F-1A0DDE5A7C6C}"/>
                </c:ext>
              </c:extLst>
            </c:dLbl>
            <c:dLbl>
              <c:idx val="12"/>
              <c:delete val="1"/>
              <c:extLst>
                <c:ext xmlns:c15="http://schemas.microsoft.com/office/drawing/2012/chart" uri="{CE6537A1-D6FC-4f65-9D91-7224C49458BB}"/>
                <c:ext xmlns:c16="http://schemas.microsoft.com/office/drawing/2014/chart" uri="{C3380CC4-5D6E-409C-BE32-E72D297353CC}">
                  <c16:uniqueId val="{0000001C-C304-4D4F-AC96-DF6E4F8CE52B}"/>
                </c:ext>
              </c:extLst>
            </c:dLbl>
            <c:dLbl>
              <c:idx val="13"/>
              <c:delete val="1"/>
              <c:extLst>
                <c:ext xmlns:c15="http://schemas.microsoft.com/office/drawing/2012/chart" uri="{CE6537A1-D6FC-4f65-9D91-7224C49458BB}"/>
                <c:ext xmlns:c16="http://schemas.microsoft.com/office/drawing/2014/chart" uri="{C3380CC4-5D6E-409C-BE32-E72D297353CC}">
                  <c16:uniqueId val="{0000001F-881C-430C-AD37-46CFA28A265D}"/>
                </c:ext>
              </c:extLst>
            </c:dLbl>
            <c:dLbl>
              <c:idx val="14"/>
              <c:delete val="1"/>
              <c:extLst>
                <c:ext xmlns:c15="http://schemas.microsoft.com/office/drawing/2012/chart" uri="{CE6537A1-D6FC-4f65-9D91-7224C49458BB}"/>
                <c:ext xmlns:c16="http://schemas.microsoft.com/office/drawing/2014/chart" uri="{C3380CC4-5D6E-409C-BE32-E72D297353CC}">
                  <c16:uniqueId val="{0000001C-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C-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C-57B8-4DBF-A408-7066DAF469F2}"/>
                </c:ext>
              </c:extLst>
            </c:dLbl>
            <c:dLbl>
              <c:idx val="17"/>
              <c:delete val="1"/>
              <c:extLst>
                <c:ext xmlns:c15="http://schemas.microsoft.com/office/drawing/2012/chart" uri="{CE6537A1-D6FC-4f65-9D91-7224C49458BB}"/>
                <c:ext xmlns:c16="http://schemas.microsoft.com/office/drawing/2014/chart" uri="{C3380CC4-5D6E-409C-BE32-E72D297353CC}">
                  <c16:uniqueId val="{00000030-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C-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C-4A60-43EC-95F5-3019B07077A5}"/>
                </c:ext>
              </c:extLst>
            </c:dLbl>
            <c:dLbl>
              <c:idx val="20"/>
              <c:delete val="1"/>
              <c:extLst>
                <c:ext xmlns:c15="http://schemas.microsoft.com/office/drawing/2012/chart" uri="{CE6537A1-D6FC-4f65-9D91-7224C49458BB}"/>
                <c:ext xmlns:c16="http://schemas.microsoft.com/office/drawing/2014/chart" uri="{C3380CC4-5D6E-409C-BE32-E72D297353CC}">
                  <c16:uniqueId val="{0000002F-754B-4E45-843A-A17FA8BB0EC1}"/>
                </c:ext>
              </c:extLst>
            </c:dLbl>
            <c:dLbl>
              <c:idx val="21"/>
              <c:delete val="1"/>
              <c:extLst>
                <c:ext xmlns:c15="http://schemas.microsoft.com/office/drawing/2012/chart" uri="{CE6537A1-D6FC-4f65-9D91-7224C49458BB}"/>
                <c:ext xmlns:c16="http://schemas.microsoft.com/office/drawing/2014/chart" uri="{C3380CC4-5D6E-409C-BE32-E72D297353CC}">
                  <c16:uniqueId val="{0000002D-F731-47D2-9133-C46429607694}"/>
                </c:ext>
              </c:extLst>
            </c:dLbl>
            <c:dLbl>
              <c:idx val="22"/>
              <c:delete val="1"/>
              <c:extLst>
                <c:ext xmlns:c15="http://schemas.microsoft.com/office/drawing/2012/chart" uri="{CE6537A1-D6FC-4f65-9D91-7224C49458BB}"/>
                <c:ext xmlns:c16="http://schemas.microsoft.com/office/drawing/2014/chart" uri="{C3380CC4-5D6E-409C-BE32-E72D297353CC}">
                  <c16:uniqueId val="{0000003C-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D-4BD4-46C6-921D-61DCF80C778C}"/>
                </c:ext>
              </c:extLst>
            </c:dLbl>
            <c:dLbl>
              <c:idx val="24"/>
              <c:delete val="1"/>
              <c:extLst>
                <c:ext xmlns:c15="http://schemas.microsoft.com/office/drawing/2012/chart" uri="{CE6537A1-D6FC-4f65-9D91-7224C49458BB}"/>
                <c:ext xmlns:c16="http://schemas.microsoft.com/office/drawing/2014/chart" uri="{C3380CC4-5D6E-409C-BE32-E72D297353CC}">
                  <c16:uniqueId val="{0000003D-2DCF-4220-BC0D-B97A585498FA}"/>
                </c:ext>
              </c:extLst>
            </c:dLbl>
            <c:dLbl>
              <c:idx val="25"/>
              <c:delete val="1"/>
              <c:extLst>
                <c:ext xmlns:c15="http://schemas.microsoft.com/office/drawing/2012/chart" uri="{CE6537A1-D6FC-4f65-9D91-7224C49458BB}"/>
                <c:ext xmlns:c16="http://schemas.microsoft.com/office/drawing/2014/chart" uri="{C3380CC4-5D6E-409C-BE32-E72D297353CC}">
                  <c16:uniqueId val="{0000003C-8AE7-4B87-976B-DCE7EB5E78DE}"/>
                </c:ext>
              </c:extLst>
            </c:dLbl>
            <c:dLbl>
              <c:idx val="26"/>
              <c:delete val="1"/>
              <c:extLst>
                <c:ext xmlns:c15="http://schemas.microsoft.com/office/drawing/2012/chart" uri="{CE6537A1-D6FC-4f65-9D91-7224C49458BB}"/>
                <c:ext xmlns:c16="http://schemas.microsoft.com/office/drawing/2014/chart" uri="{C3380CC4-5D6E-409C-BE32-E72D297353CC}">
                  <c16:uniqueId val="{0000003C-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C-F69C-4D8A-B5E7-D4F0764B6B0D}"/>
                </c:ext>
              </c:extLst>
            </c:dLbl>
            <c:dLbl>
              <c:idx val="28"/>
              <c:delete val="1"/>
              <c:extLst>
                <c:ext xmlns:c15="http://schemas.microsoft.com/office/drawing/2012/chart" uri="{CE6537A1-D6FC-4f65-9D91-7224C49458BB}"/>
                <c:ext xmlns:c16="http://schemas.microsoft.com/office/drawing/2014/chart" uri="{C3380CC4-5D6E-409C-BE32-E72D297353CC}">
                  <c16:uniqueId val="{0000003C-F811-4612-B247-592A91EE64C3}"/>
                </c:ext>
              </c:extLst>
            </c:dLbl>
            <c:dLbl>
              <c:idx val="29"/>
              <c:layout>
                <c:manualLayout>
                  <c:x val="-2.6392961876832845E-2"/>
                  <c:y val="-4.0404040404040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'2.3'!$A$16:$B$65</c15:sqref>
                  </c15:fullRef>
                </c:ext>
              </c:extLst>
              <c:f>'2.3'!$A$36:$B$65</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'2.3'!$C$16:$C$65</c15:sqref>
                  </c15:fullRef>
                </c:ext>
              </c:extLst>
              <c:f>'2.3'!$C$36:$C$65</c:f>
              <c:numCache>
                <c:formatCode>#,##0.00;[Red]#,##0.00</c:formatCode>
                <c:ptCount val="30"/>
                <c:pt idx="0">
                  <c:v>5138.4399999999996</c:v>
                </c:pt>
                <c:pt idx="1">
                  <c:v>5391.65</c:v>
                </c:pt>
                <c:pt idx="2">
                  <c:v>5422.95</c:v>
                </c:pt>
                <c:pt idx="3">
                  <c:v>5473.51</c:v>
                </c:pt>
                <c:pt idx="4">
                  <c:v>5416</c:v>
                </c:pt>
                <c:pt idx="5">
                  <c:v>5499.6</c:v>
                </c:pt>
                <c:pt idx="6">
                  <c:v>5840.3</c:v>
                </c:pt>
                <c:pt idx="7">
                  <c:v>5888.65</c:v>
                </c:pt>
                <c:pt idx="8">
                  <c:v>6009.8781505818288</c:v>
                </c:pt>
                <c:pt idx="9">
                  <c:v>5877.9335978082891</c:v>
                </c:pt>
                <c:pt idx="10">
                  <c:v>5825.660693600551</c:v>
                </c:pt>
                <c:pt idx="11">
                  <c:v>5824.0887549202462</c:v>
                </c:pt>
                <c:pt idx="12">
                  <c:v>5829.676811620282</c:v>
                </c:pt>
                <c:pt idx="13">
                  <c:v>5965.6431461884413</c:v>
                </c:pt>
                <c:pt idx="14">
                  <c:v>5977.1953232511623</c:v>
                </c:pt>
                <c:pt idx="15">
                  <c:v>6090.4262024577229</c:v>
                </c:pt>
                <c:pt idx="16">
                  <c:v>6199.3683714685012</c:v>
                </c:pt>
                <c:pt idx="17">
                  <c:v>6277.7555320279307</c:v>
                </c:pt>
                <c:pt idx="18">
                  <c:v>6459.2450440468165</c:v>
                </c:pt>
                <c:pt idx="19">
                  <c:v>6379.6873213425788</c:v>
                </c:pt>
                <c:pt idx="20">
                  <c:v>6319.5980946808631</c:v>
                </c:pt>
                <c:pt idx="21">
                  <c:v>6641.5259967641468</c:v>
                </c:pt>
                <c:pt idx="22">
                  <c:v>6862.4961483217185</c:v>
                </c:pt>
                <c:pt idx="23">
                  <c:v>7102.6909397501222</c:v>
                </c:pt>
                <c:pt idx="24">
                  <c:v>7202.1970430483834</c:v>
                </c:pt>
                <c:pt idx="25">
                  <c:v>7454.1057454401907</c:v>
                </c:pt>
                <c:pt idx="26">
                  <c:v>7443.3498710150407</c:v>
                </c:pt>
                <c:pt idx="27">
                  <c:v>7661.4195718425872</c:v>
                </c:pt>
                <c:pt idx="28">
                  <c:v>7823.4665646421799</c:v>
                </c:pt>
                <c:pt idx="29">
                  <c:v>8082.6254496920646</c:v>
                </c:pt>
              </c:numCache>
            </c:numRef>
          </c:val>
          <c:smooth val="0"/>
          <c:extLst>
            <c:ext xmlns:c15="http://schemas.microsoft.com/office/drawing/2012/chart" uri="{02D57815-91ED-43cb-92C2-25804820EDAC}">
              <c15:categoryFilterExceptions>
                <c15:categoryFilterException>
                  <c15:sqref>'2.3'!$C$24</c15:sqref>
                  <c15:dLbl>
                    <c:idx val="-1"/>
                    <c:delete val="1"/>
                    <c:extLst>
                      <c:ext uri="{CE6537A1-D6FC-4f65-9D91-7224C49458BB}"/>
                      <c:ext xmlns:c16="http://schemas.microsoft.com/office/drawing/2014/chart" uri="{C3380CC4-5D6E-409C-BE32-E72D297353CC}">
                        <c16:uniqueId val="{00000000-EBEE-45B7-A46D-AB8A83D67167}"/>
                      </c:ext>
                    </c:extLst>
                  </c15:dLbl>
                </c15:categoryFilterException>
                <c15:categoryFilterException>
                  <c15:sqref>'2.3'!$C$25</c15:sqref>
                  <c15:dLbl>
                    <c:idx val="-1"/>
                    <c:delete val="1"/>
                    <c:extLst>
                      <c:ext uri="{CE6537A1-D6FC-4f65-9D91-7224C49458BB}"/>
                      <c:ext xmlns:c16="http://schemas.microsoft.com/office/drawing/2014/chart" uri="{C3380CC4-5D6E-409C-BE32-E72D297353CC}">
                        <c16:uniqueId val="{00000001-EBEE-45B7-A46D-AB8A83D67167}"/>
                      </c:ext>
                    </c:extLst>
                  </c15:dLbl>
                </c15:categoryFilterException>
                <c15:categoryFilterException>
                  <c15:sqref>'2.3'!$C$26</c15:sqref>
                  <c15:dLbl>
                    <c:idx val="-1"/>
                    <c:delete val="1"/>
                    <c:extLst>
                      <c:ext uri="{CE6537A1-D6FC-4f65-9D91-7224C49458BB}"/>
                      <c:ext xmlns:c16="http://schemas.microsoft.com/office/drawing/2014/chart" uri="{C3380CC4-5D6E-409C-BE32-E72D297353CC}">
                        <c16:uniqueId val="{00000002-EBEE-45B7-A46D-AB8A83D67167}"/>
                      </c:ext>
                    </c:extLst>
                  </c15:dLbl>
                </c15:categoryFilterException>
                <c15:categoryFilterException>
                  <c15:sqref>'2.3'!$C$27</c15:sqref>
                  <c15:dLbl>
                    <c:idx val="-1"/>
                    <c:delete val="1"/>
                    <c:extLst>
                      <c:ext uri="{CE6537A1-D6FC-4f65-9D91-7224C49458BB}"/>
                      <c:ext xmlns:c16="http://schemas.microsoft.com/office/drawing/2014/chart" uri="{C3380CC4-5D6E-409C-BE32-E72D297353CC}">
                        <c16:uniqueId val="{00000003-EBEE-45B7-A46D-AB8A83D67167}"/>
                      </c:ext>
                    </c:extLst>
                  </c15:dLbl>
                </c15:categoryFilterException>
                <c15:categoryFilterException>
                  <c15:sqref>'2.3'!$C$28</c15:sqref>
                  <c15:dLbl>
                    <c:idx val="-1"/>
                    <c:delete val="1"/>
                    <c:extLst>
                      <c:ext uri="{CE6537A1-D6FC-4f65-9D91-7224C49458BB}"/>
                      <c:ext xmlns:c16="http://schemas.microsoft.com/office/drawing/2014/chart" uri="{C3380CC4-5D6E-409C-BE32-E72D297353CC}">
                        <c16:uniqueId val="{00000004-EBEE-45B7-A46D-AB8A83D67167}"/>
                      </c:ext>
                    </c:extLst>
                  </c15:dLbl>
                </c15:categoryFilterException>
                <c15:categoryFilterException>
                  <c15:sqref>'2.3'!$C$29</c15:sqref>
                  <c15:dLbl>
                    <c:idx val="-1"/>
                    <c:delete val="1"/>
                    <c:extLst>
                      <c:ext uri="{CE6537A1-D6FC-4f65-9D91-7224C49458BB}"/>
                      <c:ext xmlns:c16="http://schemas.microsoft.com/office/drawing/2014/chart" uri="{C3380CC4-5D6E-409C-BE32-E72D297353CC}">
                        <c16:uniqueId val="{00000005-EBEE-45B7-A46D-AB8A83D67167}"/>
                      </c:ext>
                    </c:extLst>
                  </c15:dLbl>
                </c15:categoryFilterException>
                <c15:categoryFilterException>
                  <c15:sqref>'2.3'!$C$30</c15:sqref>
                  <c15:dLbl>
                    <c:idx val="-1"/>
                    <c:delete val="1"/>
                    <c:extLst>
                      <c:ext uri="{CE6537A1-D6FC-4f65-9D91-7224C49458BB}"/>
                      <c:ext xmlns:c16="http://schemas.microsoft.com/office/drawing/2014/chart" uri="{C3380CC4-5D6E-409C-BE32-E72D297353CC}">
                        <c16:uniqueId val="{00000006-EBEE-45B7-A46D-AB8A83D67167}"/>
                      </c:ext>
                    </c:extLst>
                  </c15:dLbl>
                </c15:categoryFilterException>
                <c15:categoryFilterException>
                  <c15:sqref>'2.3'!$C$31</c15:sqref>
                  <c15:dLbl>
                    <c:idx val="-1"/>
                    <c:delete val="1"/>
                    <c:extLst>
                      <c:ext uri="{CE6537A1-D6FC-4f65-9D91-7224C49458BB}"/>
                      <c:ext xmlns:c16="http://schemas.microsoft.com/office/drawing/2014/chart" uri="{C3380CC4-5D6E-409C-BE32-E72D297353CC}">
                        <c16:uniqueId val="{00000007-EBEE-45B7-A46D-AB8A83D67167}"/>
                      </c:ext>
                    </c:extLst>
                  </c15:dLbl>
                </c15:categoryFilterException>
                <c15:categoryFilterException>
                  <c15:sqref>'2.3'!$C$32</c15:sqref>
                  <c15:dLbl>
                    <c:idx val="-1"/>
                    <c:delete val="1"/>
                    <c:extLst>
                      <c:ext uri="{CE6537A1-D6FC-4f65-9D91-7224C49458BB}"/>
                      <c:ext xmlns:c16="http://schemas.microsoft.com/office/drawing/2014/chart" uri="{C3380CC4-5D6E-409C-BE32-E72D297353CC}">
                        <c16:uniqueId val="{00000008-EBEE-45B7-A46D-AB8A83D67167}"/>
                      </c:ext>
                    </c:extLst>
                  </c15:dLbl>
                </c15:categoryFilterException>
                <c15:categoryFilterException>
                  <c15:sqref>'2.3'!$C$33</c15:sqref>
                  <c15:dLbl>
                    <c:idx val="-1"/>
                    <c:delete val="1"/>
                    <c:extLst>
                      <c:ext uri="{CE6537A1-D6FC-4f65-9D91-7224C49458BB}"/>
                      <c:ext xmlns:c16="http://schemas.microsoft.com/office/drawing/2014/chart" uri="{C3380CC4-5D6E-409C-BE32-E72D297353CC}">
                        <c16:uniqueId val="{00000009-EBEE-45B7-A46D-AB8A83D67167}"/>
                      </c:ext>
                    </c:extLst>
                  </c15:dLbl>
                </c15:categoryFilterException>
                <c15:categoryFilterException>
                  <c15:sqref>'2.3'!$C$34</c15:sqref>
                  <c15:dLbl>
                    <c:idx val="-1"/>
                    <c:delete val="1"/>
                    <c:extLst>
                      <c:ext uri="{CE6537A1-D6FC-4f65-9D91-7224C49458BB}"/>
                      <c:ext xmlns:c16="http://schemas.microsoft.com/office/drawing/2014/chart" uri="{C3380CC4-5D6E-409C-BE32-E72D297353CC}">
                        <c16:uniqueId val="{0000000A-EBEE-45B7-A46D-AB8A83D67167}"/>
                      </c:ext>
                    </c:extLst>
                  </c15:dLbl>
                </c15:categoryFilterException>
                <c15:categoryFilterException>
                  <c15:sqref>'2.3'!$C$35</c15:sqref>
                  <c15:dLbl>
                    <c:idx val="-1"/>
                    <c:delete val="1"/>
                    <c:extLst>
                      <c:ext uri="{CE6537A1-D6FC-4f65-9D91-7224C49458BB}"/>
                      <c:ext xmlns:c16="http://schemas.microsoft.com/office/drawing/2014/chart" uri="{C3380CC4-5D6E-409C-BE32-E72D297353CC}">
                        <c16:uniqueId val="{0000000B-EBEE-45B7-A46D-AB8A83D67167}"/>
                      </c:ext>
                    </c:extLst>
                  </c15:dLbl>
                </c15:categoryFilterException>
              </c15:categoryFilterExceptions>
            </c:ext>
            <c:ext xmlns:c16="http://schemas.microsoft.com/office/drawing/2014/chart" uri="{C3380CC4-5D6E-409C-BE32-E72D297353CC}">
              <c16:uniqueId val="{00000007-9A4E-48B0-A912-6292D3590A5B}"/>
            </c:ext>
          </c:extLst>
        </c:ser>
        <c:dLbls>
          <c:showLegendKey val="0"/>
          <c:showVal val="1"/>
          <c:showCatName val="0"/>
          <c:showSerName val="0"/>
          <c:showPercent val="0"/>
          <c:showBubbleSize val="0"/>
        </c:dLbls>
        <c:marker val="1"/>
        <c:smooth val="0"/>
        <c:axId val="486512032"/>
        <c:axId val="486512424"/>
      </c:lineChart>
      <c:catAx>
        <c:axId val="486512032"/>
        <c:scaling>
          <c:orientation val="minMax"/>
        </c:scaling>
        <c:delete val="0"/>
        <c:axPos val="b"/>
        <c:numFmt formatCode="General" sourceLinked="0"/>
        <c:majorTickMark val="none"/>
        <c:minorTickMark val="none"/>
        <c:tickLblPos val="nextTo"/>
        <c:spPr>
          <a:ln w="0">
            <a:solidFill>
              <a:schemeClr val="accent1"/>
            </a:solidFill>
          </a:ln>
        </c:spPr>
        <c:crossAx val="486512424"/>
        <c:crosses val="autoZero"/>
        <c:auto val="1"/>
        <c:lblAlgn val="ctr"/>
        <c:lblOffset val="100"/>
        <c:noMultiLvlLbl val="0"/>
      </c:catAx>
      <c:valAx>
        <c:axId val="486512424"/>
        <c:scaling>
          <c:orientation val="minMax"/>
        </c:scaling>
        <c:delete val="0"/>
        <c:axPos val="l"/>
        <c:majorGridlines>
          <c:spPr>
            <a:ln w="0">
              <a:solidFill>
                <a:schemeClr val="bg1">
                  <a:lumMod val="85000"/>
                </a:schemeClr>
              </a:solidFill>
            </a:ln>
          </c:spPr>
        </c:majorGridlines>
        <c:title>
          <c:tx>
            <c:rich>
              <a:bodyPr/>
              <a:lstStyle/>
              <a:p>
                <a:pPr>
                  <a:defRPr/>
                </a:pPr>
                <a:r>
                  <a:rPr lang="en-US"/>
                  <a:t>BND Million</a:t>
                </a:r>
              </a:p>
            </c:rich>
          </c:tx>
          <c:layout>
            <c:manualLayout>
              <c:xMode val="edge"/>
              <c:yMode val="edge"/>
              <c:x val="4.549174709081316E-4"/>
              <c:y val="0.3953154988925332"/>
            </c:manualLayout>
          </c:layout>
          <c:overlay val="0"/>
        </c:title>
        <c:numFmt formatCode="#,##0.00;[Red]#,##0.00" sourceLinked="1"/>
        <c:majorTickMark val="none"/>
        <c:minorTickMark val="none"/>
        <c:tickLblPos val="nextTo"/>
        <c:crossAx val="486512032"/>
        <c:crosses val="autoZero"/>
        <c:crossBetween val="between"/>
      </c:valAx>
      <c:spPr>
        <a:noFill/>
        <a:ln w="3175">
          <a:solidFill>
            <a:schemeClr val="bg1">
              <a:lumMod val="85000"/>
            </a:schemeClr>
          </a:solidFill>
        </a:ln>
      </c:spPr>
    </c:plotArea>
    <c:legend>
      <c:legendPos val="r"/>
      <c:layout>
        <c:manualLayout>
          <c:xMode val="edge"/>
          <c:yMode val="edge"/>
          <c:x val="8.7409703151924895E-2"/>
          <c:y val="0.95095318077675994"/>
          <c:w val="0.866891863509064"/>
          <c:h val="4.2109426185569468E-2"/>
        </c:manualLayout>
      </c:layout>
      <c:overlay val="0"/>
    </c:legend>
    <c:plotVisOnly val="1"/>
    <c:dispBlanksAs val="gap"/>
    <c:showDLblsOverMax val="0"/>
  </c:chart>
  <c:txPr>
    <a:bodyPr/>
    <a:lstStyle/>
    <a:p>
      <a:pPr>
        <a:defRPr sz="1000" b="1">
          <a:latin typeface="Geomanist" panose="02000503000000020004" pitchFamily="50"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a:pPr>
            <a:r>
              <a:rPr lang="en-US" sz="1500">
                <a:solidFill>
                  <a:srgbClr val="006E59"/>
                </a:solidFill>
              </a:rPr>
              <a:t>Chart 2.6: </a:t>
            </a:r>
            <a:r>
              <a:rPr lang="en-US" sz="1500">
                <a:solidFill>
                  <a:srgbClr val="D4C029"/>
                </a:solidFill>
              </a:rPr>
              <a:t>Finance Companies: Assets, Deposits and Loans/Financing</a:t>
            </a:r>
          </a:p>
        </c:rich>
      </c:tx>
      <c:layout>
        <c:manualLayout>
          <c:xMode val="edge"/>
          <c:yMode val="edge"/>
          <c:x val="0.17508345734486414"/>
          <c:y val="2.0202020202020202E-3"/>
        </c:manualLayout>
      </c:layout>
      <c:overlay val="0"/>
    </c:title>
    <c:autoTitleDeleted val="0"/>
    <c:plotArea>
      <c:layout>
        <c:manualLayout>
          <c:layoutTarget val="inner"/>
          <c:xMode val="edge"/>
          <c:yMode val="edge"/>
          <c:x val="0.10401448622504898"/>
          <c:y val="6.7436570428696413E-2"/>
          <c:w val="0.88718416898840657"/>
          <c:h val="0.78740666507595647"/>
        </c:manualLayout>
      </c:layout>
      <c:barChart>
        <c:barDir val="col"/>
        <c:grouping val="clustered"/>
        <c:varyColors val="0"/>
        <c:ser>
          <c:idx val="0"/>
          <c:order val="0"/>
          <c:tx>
            <c:v>Assets</c:v>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15-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6-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17-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2-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0-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E-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C-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C-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C-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C-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8-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9-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A-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D-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6-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4-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4-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6-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8-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4-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4-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7-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5-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6-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6-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6-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6-24F4-42DE-9C5E-7EF5978E5846}"/>
                </c:ext>
              </c:extLst>
            </c:dLbl>
            <c:dLbl>
              <c:idx val="29"/>
              <c:layout>
                <c:manualLayout>
                  <c:x val="-2.3460410557184751E-2"/>
                  <c:y val="-1.81818181818181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C77-4520-B5BC-61C185FEB790}"/>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'2.6'!$A$12:$B$61</c15:sqref>
                  </c15:fullRef>
                </c:ext>
              </c:extLst>
              <c:f>'2.6'!$A$32:$B$61</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'2.6'!$C$12:$C$61</c15:sqref>
                  </c15:fullRef>
                </c:ext>
              </c:extLst>
              <c:f>'2.6'!$C$32:$C$61</c:f>
              <c:numCache>
                <c:formatCode>#,##0.00</c:formatCode>
                <c:ptCount val="30"/>
                <c:pt idx="0">
                  <c:v>2071.34</c:v>
                </c:pt>
                <c:pt idx="1">
                  <c:v>2030.02</c:v>
                </c:pt>
                <c:pt idx="2">
                  <c:v>2014.92</c:v>
                </c:pt>
                <c:pt idx="3">
                  <c:v>1988.02</c:v>
                </c:pt>
                <c:pt idx="4">
                  <c:v>1937.36</c:v>
                </c:pt>
                <c:pt idx="5">
                  <c:v>1849.59</c:v>
                </c:pt>
                <c:pt idx="6">
                  <c:v>1857.88</c:v>
                </c:pt>
                <c:pt idx="7">
                  <c:v>1910.67</c:v>
                </c:pt>
                <c:pt idx="8">
                  <c:v>1929.20325153</c:v>
                </c:pt>
                <c:pt idx="9">
                  <c:v>1951.3869999999999</c:v>
                </c:pt>
                <c:pt idx="10">
                  <c:v>2008.5160000000001</c:v>
                </c:pt>
                <c:pt idx="11">
                  <c:v>2096.2629999999999</c:v>
                </c:pt>
                <c:pt idx="12">
                  <c:v>2151.9810000000002</c:v>
                </c:pt>
                <c:pt idx="13">
                  <c:v>2216.8869000100099</c:v>
                </c:pt>
                <c:pt idx="14">
                  <c:v>2201.7890418902398</c:v>
                </c:pt>
                <c:pt idx="15">
                  <c:v>2233.06580346088</c:v>
                </c:pt>
                <c:pt idx="16">
                  <c:v>2252.3126393623202</c:v>
                </c:pt>
                <c:pt idx="17">
                  <c:v>2160.8518893891801</c:v>
                </c:pt>
                <c:pt idx="18">
                  <c:v>2141.6999370747358</c:v>
                </c:pt>
                <c:pt idx="19">
                  <c:v>1998.73023683769</c:v>
                </c:pt>
                <c:pt idx="20">
                  <c:v>1931.8303225570701</c:v>
                </c:pt>
                <c:pt idx="21">
                  <c:v>1927.57512606501</c:v>
                </c:pt>
                <c:pt idx="22">
                  <c:v>1985.7284783119401</c:v>
                </c:pt>
                <c:pt idx="23">
                  <c:v>2089.4787060538001</c:v>
                </c:pt>
                <c:pt idx="24">
                  <c:v>2096.6180162781802</c:v>
                </c:pt>
                <c:pt idx="25">
                  <c:v>2098.6772668796498</c:v>
                </c:pt>
                <c:pt idx="26">
                  <c:v>2195.2757174643002</c:v>
                </c:pt>
                <c:pt idx="27">
                  <c:v>2204.0774499005702</c:v>
                </c:pt>
                <c:pt idx="28">
                  <c:v>2199.9162107723</c:v>
                </c:pt>
                <c:pt idx="29">
                  <c:v>2269.2740662219162</c:v>
                </c:pt>
              </c:numCache>
            </c:numRef>
          </c:val>
          <c:extLst>
            <c:ext xmlns:c15="http://schemas.microsoft.com/office/drawing/2012/chart" uri="{02D57815-91ED-43cb-92C2-25804820EDAC}">
              <c15:categoryFilterExceptions>
                <c15:categoryFilterException>
                  <c15:sqref>'2.6'!$C$16</c15:sqref>
                  <c15:dLbl>
                    <c:idx val="-1"/>
                    <c:delete val="1"/>
                    <c:extLst>
                      <c:ext uri="{CE6537A1-D6FC-4f65-9D91-7224C49458BB}"/>
                      <c:ext xmlns:c16="http://schemas.microsoft.com/office/drawing/2014/chart" uri="{C3380CC4-5D6E-409C-BE32-E72D297353CC}">
                        <c16:uniqueId val="{00000000-16B9-4D7A-8F3A-743D8179AC6F}"/>
                      </c:ext>
                    </c:extLst>
                  </c15:dLbl>
                </c15:categoryFilterException>
                <c15:categoryFilterException>
                  <c15:sqref>'2.6'!$C$17</c15:sqref>
                  <c15:dLbl>
                    <c:idx val="-1"/>
                    <c:delete val="1"/>
                    <c:extLst>
                      <c:ext uri="{CE6537A1-D6FC-4f65-9D91-7224C49458BB}"/>
                      <c:ext xmlns:c16="http://schemas.microsoft.com/office/drawing/2014/chart" uri="{C3380CC4-5D6E-409C-BE32-E72D297353CC}">
                        <c16:uniqueId val="{00000001-16B9-4D7A-8F3A-743D8179AC6F}"/>
                      </c:ext>
                    </c:extLst>
                  </c15:dLbl>
                </c15:categoryFilterException>
                <c15:categoryFilterException>
                  <c15:sqref>'2.6'!$C$18</c15:sqref>
                  <c15:dLbl>
                    <c:idx val="-1"/>
                    <c:delete val="1"/>
                    <c:extLst>
                      <c:ext uri="{CE6537A1-D6FC-4f65-9D91-7224C49458BB}"/>
                      <c:ext xmlns:c16="http://schemas.microsoft.com/office/drawing/2014/chart" uri="{C3380CC4-5D6E-409C-BE32-E72D297353CC}">
                        <c16:uniqueId val="{00000002-16B9-4D7A-8F3A-743D8179AC6F}"/>
                      </c:ext>
                    </c:extLst>
                  </c15:dLbl>
                </c15:categoryFilterException>
                <c15:categoryFilterException>
                  <c15:sqref>'2.6'!$C$19</c15:sqref>
                  <c15:dLbl>
                    <c:idx val="-1"/>
                    <c:delete val="1"/>
                    <c:extLst>
                      <c:ext uri="{CE6537A1-D6FC-4f65-9D91-7224C49458BB}"/>
                      <c:ext xmlns:c16="http://schemas.microsoft.com/office/drawing/2014/chart" uri="{C3380CC4-5D6E-409C-BE32-E72D297353CC}">
                        <c16:uniqueId val="{00000003-16B9-4D7A-8F3A-743D8179AC6F}"/>
                      </c:ext>
                    </c:extLst>
                  </c15:dLbl>
                </c15:categoryFilterException>
                <c15:categoryFilterException>
                  <c15:sqref>'2.6'!$C$20</c15:sqref>
                  <c15:dLbl>
                    <c:idx val="-1"/>
                    <c:delete val="1"/>
                    <c:extLst>
                      <c:ext uri="{CE6537A1-D6FC-4f65-9D91-7224C49458BB}"/>
                      <c:ext xmlns:c16="http://schemas.microsoft.com/office/drawing/2014/chart" uri="{C3380CC4-5D6E-409C-BE32-E72D297353CC}">
                        <c16:uniqueId val="{00000004-16B9-4D7A-8F3A-743D8179AC6F}"/>
                      </c:ext>
                    </c:extLst>
                  </c15:dLbl>
                </c15:categoryFilterException>
                <c15:categoryFilterException>
                  <c15:sqref>'2.6'!$C$21</c15:sqref>
                  <c15:dLbl>
                    <c:idx val="-1"/>
                    <c:delete val="1"/>
                    <c:extLst>
                      <c:ext uri="{CE6537A1-D6FC-4f65-9D91-7224C49458BB}"/>
                      <c:ext xmlns:c16="http://schemas.microsoft.com/office/drawing/2014/chart" uri="{C3380CC4-5D6E-409C-BE32-E72D297353CC}">
                        <c16:uniqueId val="{00000005-16B9-4D7A-8F3A-743D8179AC6F}"/>
                      </c:ext>
                    </c:extLst>
                  </c15:dLbl>
                </c15:categoryFilterException>
                <c15:categoryFilterException>
                  <c15:sqref>'2.6'!$C$22</c15:sqref>
                  <c15:dLbl>
                    <c:idx val="-1"/>
                    <c:delete val="1"/>
                    <c:extLst>
                      <c:ext uri="{CE6537A1-D6FC-4f65-9D91-7224C49458BB}"/>
                      <c:ext xmlns:c16="http://schemas.microsoft.com/office/drawing/2014/chart" uri="{C3380CC4-5D6E-409C-BE32-E72D297353CC}">
                        <c16:uniqueId val="{00000006-16B9-4D7A-8F3A-743D8179AC6F}"/>
                      </c:ext>
                    </c:extLst>
                  </c15:dLbl>
                </c15:categoryFilterException>
                <c15:categoryFilterException>
                  <c15:sqref>'2.6'!$C$23</c15:sqref>
                  <c15:dLbl>
                    <c:idx val="-1"/>
                    <c:delete val="1"/>
                    <c:extLst>
                      <c:ext uri="{CE6537A1-D6FC-4f65-9D91-7224C49458BB}"/>
                      <c:ext xmlns:c16="http://schemas.microsoft.com/office/drawing/2014/chart" uri="{C3380CC4-5D6E-409C-BE32-E72D297353CC}">
                        <c16:uniqueId val="{00000007-16B9-4D7A-8F3A-743D8179AC6F}"/>
                      </c:ext>
                    </c:extLst>
                  </c15:dLbl>
                </c15:categoryFilterException>
                <c15:categoryFilterException>
                  <c15:sqref>'2.6'!$C$24</c15:sqref>
                  <c15:dLbl>
                    <c:idx val="-1"/>
                    <c:delete val="1"/>
                    <c:extLst>
                      <c:ext uri="{CE6537A1-D6FC-4f65-9D91-7224C49458BB}"/>
                      <c:ext xmlns:c16="http://schemas.microsoft.com/office/drawing/2014/chart" uri="{C3380CC4-5D6E-409C-BE32-E72D297353CC}">
                        <c16:uniqueId val="{00000008-16B9-4D7A-8F3A-743D8179AC6F}"/>
                      </c:ext>
                    </c:extLst>
                  </c15:dLbl>
                </c15:categoryFilterException>
                <c15:categoryFilterException>
                  <c15:sqref>'2.6'!$C$25</c15:sqref>
                  <c15:dLbl>
                    <c:idx val="-1"/>
                    <c:delete val="1"/>
                    <c:extLst>
                      <c:ext uri="{CE6537A1-D6FC-4f65-9D91-7224C49458BB}"/>
                      <c:ext xmlns:c16="http://schemas.microsoft.com/office/drawing/2014/chart" uri="{C3380CC4-5D6E-409C-BE32-E72D297353CC}">
                        <c16:uniqueId val="{00000009-16B9-4D7A-8F3A-743D8179AC6F}"/>
                      </c:ext>
                    </c:extLst>
                  </c15:dLbl>
                </c15:categoryFilterException>
                <c15:categoryFilterException>
                  <c15:sqref>'2.6'!$C$26</c15:sqref>
                  <c15:dLbl>
                    <c:idx val="-1"/>
                    <c:delete val="1"/>
                    <c:extLst>
                      <c:ext uri="{CE6537A1-D6FC-4f65-9D91-7224C49458BB}"/>
                      <c:ext xmlns:c16="http://schemas.microsoft.com/office/drawing/2014/chart" uri="{C3380CC4-5D6E-409C-BE32-E72D297353CC}">
                        <c16:uniqueId val="{0000000A-16B9-4D7A-8F3A-743D8179AC6F}"/>
                      </c:ext>
                    </c:extLst>
                  </c15:dLbl>
                </c15:categoryFilterException>
                <c15:categoryFilterException>
                  <c15:sqref>'2.6'!$C$27</c15:sqref>
                  <c15:dLbl>
                    <c:idx val="-1"/>
                    <c:delete val="1"/>
                    <c:extLst>
                      <c:ext uri="{CE6537A1-D6FC-4f65-9D91-7224C49458BB}"/>
                      <c:ext xmlns:c16="http://schemas.microsoft.com/office/drawing/2014/chart" uri="{C3380CC4-5D6E-409C-BE32-E72D297353CC}">
                        <c16:uniqueId val="{0000000B-16B9-4D7A-8F3A-743D8179AC6F}"/>
                      </c:ext>
                    </c:extLst>
                  </c15:dLbl>
                </c15:categoryFilterException>
                <c15:categoryFilterException>
                  <c15:sqref>'2.6'!$C$28</c15:sqref>
                  <c15:dLbl>
                    <c:idx val="-1"/>
                    <c:delete val="1"/>
                    <c:extLst>
                      <c:ext uri="{CE6537A1-D6FC-4f65-9D91-7224C49458BB}"/>
                      <c:ext xmlns:c16="http://schemas.microsoft.com/office/drawing/2014/chart" uri="{C3380CC4-5D6E-409C-BE32-E72D297353CC}">
                        <c16:uniqueId val="{0000000C-16B9-4D7A-8F3A-743D8179AC6F}"/>
                      </c:ext>
                    </c:extLst>
                  </c15:dLbl>
                </c15:categoryFilterException>
                <c15:categoryFilterException>
                  <c15:sqref>'2.6'!$C$29</c15:sqref>
                  <c15:dLbl>
                    <c:idx val="-1"/>
                    <c:delete val="1"/>
                    <c:extLst>
                      <c:ext uri="{CE6537A1-D6FC-4f65-9D91-7224C49458BB}"/>
                      <c:ext xmlns:c16="http://schemas.microsoft.com/office/drawing/2014/chart" uri="{C3380CC4-5D6E-409C-BE32-E72D297353CC}">
                        <c16:uniqueId val="{0000000D-16B9-4D7A-8F3A-743D8179AC6F}"/>
                      </c:ext>
                    </c:extLst>
                  </c15:dLbl>
                </c15:categoryFilterException>
                <c15:categoryFilterException>
                  <c15:sqref>'2.6'!$C$30</c15:sqref>
                  <c15:dLbl>
                    <c:idx val="-1"/>
                    <c:delete val="1"/>
                    <c:extLst>
                      <c:ext uri="{CE6537A1-D6FC-4f65-9D91-7224C49458BB}"/>
                      <c:ext xmlns:c16="http://schemas.microsoft.com/office/drawing/2014/chart" uri="{C3380CC4-5D6E-409C-BE32-E72D297353CC}">
                        <c16:uniqueId val="{0000000E-16B9-4D7A-8F3A-743D8179AC6F}"/>
                      </c:ext>
                    </c:extLst>
                  </c15:dLbl>
                </c15:categoryFilterException>
                <c15:categoryFilterException>
                  <c15:sqref>'2.6'!$C$31</c15:sqref>
                  <c15:dLbl>
                    <c:idx val="-1"/>
                    <c:delete val="1"/>
                    <c:extLst>
                      <c:ext uri="{CE6537A1-D6FC-4f65-9D91-7224C49458BB}"/>
                      <c:ext xmlns:c16="http://schemas.microsoft.com/office/drawing/2014/chart" uri="{C3380CC4-5D6E-409C-BE32-E72D297353CC}">
                        <c16:uniqueId val="{0000000F-16B9-4D7A-8F3A-743D8179AC6F}"/>
                      </c:ext>
                    </c:extLst>
                  </c15:dLbl>
                </c15:categoryFilterException>
              </c15:categoryFilterExceptions>
            </c:ext>
            <c:ext xmlns:c16="http://schemas.microsoft.com/office/drawing/2014/chart" uri="{C3380CC4-5D6E-409C-BE32-E72D297353CC}">
              <c16:uniqueId val="{00000019-A970-4050-9935-02DCB2176CEC}"/>
            </c:ext>
          </c:extLst>
        </c:ser>
        <c:ser>
          <c:idx val="1"/>
          <c:order val="1"/>
          <c:tx>
            <c:v>Deposits</c:v>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0AB4-478F-83CE-CD28BF750235}"/>
                </c:ext>
              </c:extLst>
            </c:dLbl>
            <c:dLbl>
              <c:idx val="1"/>
              <c:delete val="1"/>
              <c:extLst>
                <c:ext xmlns:c15="http://schemas.microsoft.com/office/drawing/2012/chart" uri="{CE6537A1-D6FC-4f65-9D91-7224C49458BB}"/>
                <c:ext xmlns:c16="http://schemas.microsoft.com/office/drawing/2014/chart" uri="{C3380CC4-5D6E-409C-BE32-E72D297353CC}">
                  <c16:uniqueId val="{0000001A-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9-0AB4-478F-83CE-CD28BF750235}"/>
                </c:ext>
              </c:extLst>
            </c:dLbl>
            <c:dLbl>
              <c:idx val="3"/>
              <c:delete val="1"/>
              <c:extLst>
                <c:ext xmlns:c15="http://schemas.microsoft.com/office/drawing/2012/chart" uri="{CE6537A1-D6FC-4f65-9D91-7224C49458BB}"/>
                <c:ext xmlns:c16="http://schemas.microsoft.com/office/drawing/2014/chart" uri="{C3380CC4-5D6E-409C-BE32-E72D297353CC}">
                  <c16:uniqueId val="{0000001A-0AB4-478F-83CE-CD28BF750235}"/>
                </c:ext>
              </c:extLst>
            </c:dLbl>
            <c:dLbl>
              <c:idx val="4"/>
              <c:delete val="1"/>
              <c:extLst>
                <c:ext xmlns:c15="http://schemas.microsoft.com/office/drawing/2012/chart" uri="{CE6537A1-D6FC-4f65-9D91-7224C49458BB}"/>
                <c:ext xmlns:c16="http://schemas.microsoft.com/office/drawing/2014/chart" uri="{C3380CC4-5D6E-409C-BE32-E72D297353CC}">
                  <c16:uniqueId val="{00000001-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2-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D-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D-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D-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D-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D-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9-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E1CF-491E-95C3-AB1999261A66}"/>
                </c:ext>
              </c:extLst>
            </c:dLbl>
            <c:dLbl>
              <c:idx val="13"/>
              <c:delete val="1"/>
              <c:extLst>
                <c:ext xmlns:c15="http://schemas.microsoft.com/office/drawing/2012/chart" uri="{CE6537A1-D6FC-4f65-9D91-7224C49458BB}"/>
                <c:ext xmlns:c16="http://schemas.microsoft.com/office/drawing/2014/chart" uri="{C3380CC4-5D6E-409C-BE32-E72D297353CC}">
                  <c16:uniqueId val="{0000001A-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9-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C-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5-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5-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5-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5-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9-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6-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6-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5-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7-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5-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4-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5-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4-24F4-42DE-9C5E-7EF5978E5846}"/>
                </c:ext>
              </c:extLst>
            </c:dLbl>
            <c:dLbl>
              <c:idx val="29"/>
              <c:layout>
                <c:manualLayout>
                  <c:x val="-4.1055718475073423E-2"/>
                  <c:y val="-6.66666666666666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2C77-4520-B5BC-61C185FEB790}"/>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'2.6'!$A$12:$B$61</c15:sqref>
                  </c15:fullRef>
                </c:ext>
              </c:extLst>
              <c:f>'2.6'!$A$32:$B$61</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'2.6'!$D$12:$D$61</c15:sqref>
                  </c15:fullRef>
                </c:ext>
              </c:extLst>
              <c:f>'2.6'!$D$32:$D$61</c:f>
              <c:numCache>
                <c:formatCode>#,##0.00</c:formatCode>
                <c:ptCount val="30"/>
                <c:pt idx="0">
                  <c:v>1764.58</c:v>
                </c:pt>
                <c:pt idx="1">
                  <c:v>1714.83</c:v>
                </c:pt>
                <c:pt idx="2">
                  <c:v>1687.31</c:v>
                </c:pt>
                <c:pt idx="3">
                  <c:v>1661.02</c:v>
                </c:pt>
                <c:pt idx="4">
                  <c:v>1592.75</c:v>
                </c:pt>
                <c:pt idx="5">
                  <c:v>1511.3</c:v>
                </c:pt>
                <c:pt idx="6">
                  <c:v>1500.42</c:v>
                </c:pt>
                <c:pt idx="7">
                  <c:v>1572</c:v>
                </c:pt>
                <c:pt idx="8">
                  <c:v>1581.3383874599997</c:v>
                </c:pt>
                <c:pt idx="9">
                  <c:v>1662.952</c:v>
                </c:pt>
                <c:pt idx="10">
                  <c:v>1708.1659999999999</c:v>
                </c:pt>
                <c:pt idx="11">
                  <c:v>1784.0909999999999</c:v>
                </c:pt>
                <c:pt idx="12">
                  <c:v>1838.2559999999999</c:v>
                </c:pt>
                <c:pt idx="13">
                  <c:v>1907.20196839</c:v>
                </c:pt>
                <c:pt idx="14">
                  <c:v>1905.59700023</c:v>
                </c:pt>
                <c:pt idx="15">
                  <c:v>1918.12581907</c:v>
                </c:pt>
                <c:pt idx="16">
                  <c:v>1929.3469489500001</c:v>
                </c:pt>
                <c:pt idx="17">
                  <c:v>1838.14493247</c:v>
                </c:pt>
                <c:pt idx="18">
                  <c:v>1817.6400520899997</c:v>
                </c:pt>
                <c:pt idx="19">
                  <c:v>1635.06806095</c:v>
                </c:pt>
                <c:pt idx="20">
                  <c:v>1573.0235080099999</c:v>
                </c:pt>
                <c:pt idx="21">
                  <c:v>1602.6167865899999</c:v>
                </c:pt>
                <c:pt idx="22">
                  <c:v>1658.0621748399999</c:v>
                </c:pt>
                <c:pt idx="23">
                  <c:v>1733.6065491700001</c:v>
                </c:pt>
                <c:pt idx="24">
                  <c:v>1735.73548822</c:v>
                </c:pt>
                <c:pt idx="25">
                  <c:v>1754.27282769</c:v>
                </c:pt>
                <c:pt idx="26">
                  <c:v>1837.58538462</c:v>
                </c:pt>
                <c:pt idx="27">
                  <c:v>1818.67776157</c:v>
                </c:pt>
                <c:pt idx="28">
                  <c:v>1833.94973802</c:v>
                </c:pt>
                <c:pt idx="29">
                  <c:v>1919.7751914800001</c:v>
                </c:pt>
              </c:numCache>
            </c:numRef>
          </c:val>
          <c:extLst>
            <c:ext xmlns:c15="http://schemas.microsoft.com/office/drawing/2012/chart" uri="{02D57815-91ED-43cb-92C2-25804820EDAC}">
              <c15:categoryFilterExceptions>
                <c15:categoryFilterException>
                  <c15:sqref>'2.6'!$D$16</c15:sqref>
                  <c15:dLbl>
                    <c:idx val="-1"/>
                    <c:delete val="1"/>
                    <c:extLst>
                      <c:ext uri="{CE6537A1-D6FC-4f65-9D91-7224C49458BB}"/>
                      <c:ext xmlns:c16="http://schemas.microsoft.com/office/drawing/2014/chart" uri="{C3380CC4-5D6E-409C-BE32-E72D297353CC}">
                        <c16:uniqueId val="{00000010-16B9-4D7A-8F3A-743D8179AC6F}"/>
                      </c:ext>
                    </c:extLst>
                  </c15:dLbl>
                </c15:categoryFilterException>
                <c15:categoryFilterException>
                  <c15:sqref>'2.6'!$D$17</c15:sqref>
                  <c15:dLbl>
                    <c:idx val="-1"/>
                    <c:delete val="1"/>
                    <c:extLst>
                      <c:ext uri="{CE6537A1-D6FC-4f65-9D91-7224C49458BB}"/>
                      <c:ext xmlns:c16="http://schemas.microsoft.com/office/drawing/2014/chart" uri="{C3380CC4-5D6E-409C-BE32-E72D297353CC}">
                        <c16:uniqueId val="{00000011-16B9-4D7A-8F3A-743D8179AC6F}"/>
                      </c:ext>
                    </c:extLst>
                  </c15:dLbl>
                </c15:categoryFilterException>
                <c15:categoryFilterException>
                  <c15:sqref>'2.6'!$D$18</c15:sqref>
                  <c15:dLbl>
                    <c:idx val="-1"/>
                    <c:delete val="1"/>
                    <c:extLst>
                      <c:ext uri="{CE6537A1-D6FC-4f65-9D91-7224C49458BB}"/>
                      <c:ext xmlns:c16="http://schemas.microsoft.com/office/drawing/2014/chart" uri="{C3380CC4-5D6E-409C-BE32-E72D297353CC}">
                        <c16:uniqueId val="{00000012-16B9-4D7A-8F3A-743D8179AC6F}"/>
                      </c:ext>
                    </c:extLst>
                  </c15:dLbl>
                </c15:categoryFilterException>
                <c15:categoryFilterException>
                  <c15:sqref>'2.6'!$D$19</c15:sqref>
                  <c15:dLbl>
                    <c:idx val="-1"/>
                    <c:delete val="1"/>
                    <c:extLst>
                      <c:ext uri="{CE6537A1-D6FC-4f65-9D91-7224C49458BB}"/>
                      <c:ext xmlns:c16="http://schemas.microsoft.com/office/drawing/2014/chart" uri="{C3380CC4-5D6E-409C-BE32-E72D297353CC}">
                        <c16:uniqueId val="{00000013-16B9-4D7A-8F3A-743D8179AC6F}"/>
                      </c:ext>
                    </c:extLst>
                  </c15:dLbl>
                </c15:categoryFilterException>
                <c15:categoryFilterException>
                  <c15:sqref>'2.6'!$D$20</c15:sqref>
                  <c15:dLbl>
                    <c:idx val="-1"/>
                    <c:delete val="1"/>
                    <c:extLst>
                      <c:ext uri="{CE6537A1-D6FC-4f65-9D91-7224C49458BB}"/>
                      <c:ext xmlns:c16="http://schemas.microsoft.com/office/drawing/2014/chart" uri="{C3380CC4-5D6E-409C-BE32-E72D297353CC}">
                        <c16:uniqueId val="{00000014-16B9-4D7A-8F3A-743D8179AC6F}"/>
                      </c:ext>
                    </c:extLst>
                  </c15:dLbl>
                </c15:categoryFilterException>
                <c15:categoryFilterException>
                  <c15:sqref>'2.6'!$D$21</c15:sqref>
                  <c15:dLbl>
                    <c:idx val="-1"/>
                    <c:delete val="1"/>
                    <c:extLst>
                      <c:ext uri="{CE6537A1-D6FC-4f65-9D91-7224C49458BB}"/>
                      <c:ext xmlns:c16="http://schemas.microsoft.com/office/drawing/2014/chart" uri="{C3380CC4-5D6E-409C-BE32-E72D297353CC}">
                        <c16:uniqueId val="{00000015-16B9-4D7A-8F3A-743D8179AC6F}"/>
                      </c:ext>
                    </c:extLst>
                  </c15:dLbl>
                </c15:categoryFilterException>
                <c15:categoryFilterException>
                  <c15:sqref>'2.6'!$D$22</c15:sqref>
                  <c15:dLbl>
                    <c:idx val="-1"/>
                    <c:delete val="1"/>
                    <c:extLst>
                      <c:ext uri="{CE6537A1-D6FC-4f65-9D91-7224C49458BB}"/>
                      <c:ext xmlns:c16="http://schemas.microsoft.com/office/drawing/2014/chart" uri="{C3380CC4-5D6E-409C-BE32-E72D297353CC}">
                        <c16:uniqueId val="{00000016-16B9-4D7A-8F3A-743D8179AC6F}"/>
                      </c:ext>
                    </c:extLst>
                  </c15:dLbl>
                </c15:categoryFilterException>
                <c15:categoryFilterException>
                  <c15:sqref>'2.6'!$D$23</c15:sqref>
                  <c15:dLbl>
                    <c:idx val="-1"/>
                    <c:delete val="1"/>
                    <c:extLst>
                      <c:ext uri="{CE6537A1-D6FC-4f65-9D91-7224C49458BB}"/>
                      <c:ext xmlns:c16="http://schemas.microsoft.com/office/drawing/2014/chart" uri="{C3380CC4-5D6E-409C-BE32-E72D297353CC}">
                        <c16:uniqueId val="{00000017-16B9-4D7A-8F3A-743D8179AC6F}"/>
                      </c:ext>
                    </c:extLst>
                  </c15:dLbl>
                </c15:categoryFilterException>
                <c15:categoryFilterException>
                  <c15:sqref>'2.6'!$D$24</c15:sqref>
                  <c15:dLbl>
                    <c:idx val="-1"/>
                    <c:delete val="1"/>
                    <c:extLst>
                      <c:ext uri="{CE6537A1-D6FC-4f65-9D91-7224C49458BB}"/>
                      <c:ext xmlns:c16="http://schemas.microsoft.com/office/drawing/2014/chart" uri="{C3380CC4-5D6E-409C-BE32-E72D297353CC}">
                        <c16:uniqueId val="{00000018-16B9-4D7A-8F3A-743D8179AC6F}"/>
                      </c:ext>
                    </c:extLst>
                  </c15:dLbl>
                </c15:categoryFilterException>
                <c15:categoryFilterException>
                  <c15:sqref>'2.6'!$D$25</c15:sqref>
                  <c15:dLbl>
                    <c:idx val="-1"/>
                    <c:delete val="1"/>
                    <c:extLst>
                      <c:ext uri="{CE6537A1-D6FC-4f65-9D91-7224C49458BB}"/>
                      <c:ext xmlns:c16="http://schemas.microsoft.com/office/drawing/2014/chart" uri="{C3380CC4-5D6E-409C-BE32-E72D297353CC}">
                        <c16:uniqueId val="{00000019-16B9-4D7A-8F3A-743D8179AC6F}"/>
                      </c:ext>
                    </c:extLst>
                  </c15:dLbl>
                </c15:categoryFilterException>
                <c15:categoryFilterException>
                  <c15:sqref>'2.6'!$D$26</c15:sqref>
                  <c15:dLbl>
                    <c:idx val="-1"/>
                    <c:delete val="1"/>
                    <c:extLst>
                      <c:ext uri="{CE6537A1-D6FC-4f65-9D91-7224C49458BB}"/>
                      <c:ext xmlns:c16="http://schemas.microsoft.com/office/drawing/2014/chart" uri="{C3380CC4-5D6E-409C-BE32-E72D297353CC}">
                        <c16:uniqueId val="{0000001A-16B9-4D7A-8F3A-743D8179AC6F}"/>
                      </c:ext>
                    </c:extLst>
                  </c15:dLbl>
                </c15:categoryFilterException>
                <c15:categoryFilterException>
                  <c15:sqref>'2.6'!$D$27</c15:sqref>
                  <c15:dLbl>
                    <c:idx val="-1"/>
                    <c:delete val="1"/>
                    <c:extLst>
                      <c:ext uri="{CE6537A1-D6FC-4f65-9D91-7224C49458BB}"/>
                      <c:ext xmlns:c16="http://schemas.microsoft.com/office/drawing/2014/chart" uri="{C3380CC4-5D6E-409C-BE32-E72D297353CC}">
                        <c16:uniqueId val="{0000001B-16B9-4D7A-8F3A-743D8179AC6F}"/>
                      </c:ext>
                    </c:extLst>
                  </c15:dLbl>
                </c15:categoryFilterException>
                <c15:categoryFilterException>
                  <c15:sqref>'2.6'!$D$28</c15:sqref>
                  <c15:dLbl>
                    <c:idx val="-1"/>
                    <c:delete val="1"/>
                    <c:extLst>
                      <c:ext uri="{CE6537A1-D6FC-4f65-9D91-7224C49458BB}"/>
                      <c:ext xmlns:c16="http://schemas.microsoft.com/office/drawing/2014/chart" uri="{C3380CC4-5D6E-409C-BE32-E72D297353CC}">
                        <c16:uniqueId val="{0000001C-16B9-4D7A-8F3A-743D8179AC6F}"/>
                      </c:ext>
                    </c:extLst>
                  </c15:dLbl>
                </c15:categoryFilterException>
                <c15:categoryFilterException>
                  <c15:sqref>'2.6'!$D$29</c15:sqref>
                  <c15:dLbl>
                    <c:idx val="-1"/>
                    <c:delete val="1"/>
                    <c:extLst>
                      <c:ext uri="{CE6537A1-D6FC-4f65-9D91-7224C49458BB}"/>
                      <c:ext xmlns:c16="http://schemas.microsoft.com/office/drawing/2014/chart" uri="{C3380CC4-5D6E-409C-BE32-E72D297353CC}">
                        <c16:uniqueId val="{0000001D-16B9-4D7A-8F3A-743D8179AC6F}"/>
                      </c:ext>
                    </c:extLst>
                  </c15:dLbl>
                </c15:categoryFilterException>
                <c15:categoryFilterException>
                  <c15:sqref>'2.6'!$D$30</c15:sqref>
                  <c15:dLbl>
                    <c:idx val="-1"/>
                    <c:delete val="1"/>
                    <c:extLst>
                      <c:ext uri="{CE6537A1-D6FC-4f65-9D91-7224C49458BB}"/>
                      <c:ext xmlns:c16="http://schemas.microsoft.com/office/drawing/2014/chart" uri="{C3380CC4-5D6E-409C-BE32-E72D297353CC}">
                        <c16:uniqueId val="{0000001E-16B9-4D7A-8F3A-743D8179AC6F}"/>
                      </c:ext>
                    </c:extLst>
                  </c15:dLbl>
                </c15:categoryFilterException>
                <c15:categoryFilterException>
                  <c15:sqref>'2.6'!$D$31</c15:sqref>
                  <c15:dLbl>
                    <c:idx val="-1"/>
                    <c:delete val="1"/>
                    <c:extLst>
                      <c:ext uri="{CE6537A1-D6FC-4f65-9D91-7224C49458BB}"/>
                      <c:ext xmlns:c16="http://schemas.microsoft.com/office/drawing/2014/chart" uri="{C3380CC4-5D6E-409C-BE32-E72D297353CC}">
                        <c16:uniqueId val="{0000001F-16B9-4D7A-8F3A-743D8179AC6F}"/>
                      </c:ext>
                    </c:extLst>
                  </c15:dLbl>
                </c15:categoryFilterException>
              </c15:categoryFilterExceptions>
            </c:ext>
            <c:ext xmlns:c16="http://schemas.microsoft.com/office/drawing/2014/chart" uri="{C3380CC4-5D6E-409C-BE32-E72D297353CC}">
              <c16:uniqueId val="{0000001B-A970-4050-9935-02DCB2176CEC}"/>
            </c:ext>
          </c:extLst>
        </c:ser>
        <c:ser>
          <c:idx val="2"/>
          <c:order val="2"/>
          <c:tx>
            <c:strRef>
              <c:f>'2.6'!$E$3</c:f>
              <c:strCache>
                <c:ptCount val="1"/>
                <c:pt idx="0">
                  <c:v>Loans/Financing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31-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32-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33-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0-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1-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C-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E-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E-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E-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E-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A-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9-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8-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8-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B-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4-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6-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6-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4-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7-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5-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5-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6-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6-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4-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5-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4-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5-24F4-42DE-9C5E-7EF5978E5846}"/>
                </c:ext>
              </c:extLst>
            </c:dLbl>
            <c:dLbl>
              <c:idx val="29"/>
              <c:layout>
                <c:manualLayout>
                  <c:x val="-0.16422287390029336"/>
                  <c:y val="-5.25252525252525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C77-4520-B5BC-61C185FEB790}"/>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'2.6'!$A$12:$B$61</c15:sqref>
                  </c15:fullRef>
                </c:ext>
              </c:extLst>
              <c:f>'2.6'!$A$32:$B$61</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'2.6'!$E$12:$E$61</c15:sqref>
                  </c15:fullRef>
                </c:ext>
              </c:extLst>
              <c:f>'2.6'!$E$32:$E$61</c:f>
              <c:numCache>
                <c:formatCode>#,##0.00</c:formatCode>
                <c:ptCount val="30"/>
                <c:pt idx="0">
                  <c:v>1538.02</c:v>
                </c:pt>
                <c:pt idx="1">
                  <c:v>1548.01</c:v>
                </c:pt>
                <c:pt idx="2">
                  <c:v>1550.67</c:v>
                </c:pt>
                <c:pt idx="3">
                  <c:v>1538.59</c:v>
                </c:pt>
                <c:pt idx="4">
                  <c:v>1533.84</c:v>
                </c:pt>
                <c:pt idx="5">
                  <c:v>1530.16</c:v>
                </c:pt>
                <c:pt idx="6">
                  <c:v>1529.11</c:v>
                </c:pt>
                <c:pt idx="7">
                  <c:v>1521.9</c:v>
                </c:pt>
                <c:pt idx="8">
                  <c:v>1530.0597971599998</c:v>
                </c:pt>
                <c:pt idx="9">
                  <c:v>1538.3779999999999</c:v>
                </c:pt>
                <c:pt idx="10">
                  <c:v>1544.356</c:v>
                </c:pt>
                <c:pt idx="11">
                  <c:v>1558.155</c:v>
                </c:pt>
                <c:pt idx="12">
                  <c:v>1579.9739999999999</c:v>
                </c:pt>
                <c:pt idx="13">
                  <c:v>1616.00930997</c:v>
                </c:pt>
                <c:pt idx="14">
                  <c:v>1606.1055326799999</c:v>
                </c:pt>
                <c:pt idx="15">
                  <c:v>1570.75052164</c:v>
                </c:pt>
                <c:pt idx="16">
                  <c:v>1562.98934399</c:v>
                </c:pt>
                <c:pt idx="17">
                  <c:v>1571.39030411</c:v>
                </c:pt>
                <c:pt idx="18">
                  <c:v>1583.349677819999</c:v>
                </c:pt>
                <c:pt idx="19">
                  <c:v>1596.4275158600001</c:v>
                </c:pt>
                <c:pt idx="20">
                  <c:v>1608.40594609001</c:v>
                </c:pt>
                <c:pt idx="21">
                  <c:v>1645.32327764001</c:v>
                </c:pt>
                <c:pt idx="22">
                  <c:v>1676.4104339999999</c:v>
                </c:pt>
                <c:pt idx="23">
                  <c:v>1702.30732289002</c:v>
                </c:pt>
                <c:pt idx="24">
                  <c:v>1718.7236720300057</c:v>
                </c:pt>
                <c:pt idx="25">
                  <c:v>1770.32408779002</c:v>
                </c:pt>
                <c:pt idx="26">
                  <c:v>1796.0486124200099</c:v>
                </c:pt>
                <c:pt idx="27">
                  <c:v>1818.1947495100201</c:v>
                </c:pt>
                <c:pt idx="28">
                  <c:v>1847.1033268700201</c:v>
                </c:pt>
                <c:pt idx="29">
                  <c:v>1892.8307237400199</c:v>
                </c:pt>
              </c:numCache>
            </c:numRef>
          </c:val>
          <c:extLst>
            <c:ext xmlns:c15="http://schemas.microsoft.com/office/drawing/2012/chart" uri="{02D57815-91ED-43cb-92C2-25804820EDAC}">
              <c15:categoryFilterExceptions>
                <c15:categoryFilterException>
                  <c15:sqref>'2.6'!$E$16</c15:sqref>
                  <c15:dLbl>
                    <c:idx val="-1"/>
                    <c:delete val="1"/>
                    <c:extLst>
                      <c:ext uri="{CE6537A1-D6FC-4f65-9D91-7224C49458BB}"/>
                      <c:ext xmlns:c16="http://schemas.microsoft.com/office/drawing/2014/chart" uri="{C3380CC4-5D6E-409C-BE32-E72D297353CC}">
                        <c16:uniqueId val="{00000020-16B9-4D7A-8F3A-743D8179AC6F}"/>
                      </c:ext>
                    </c:extLst>
                  </c15:dLbl>
                </c15:categoryFilterException>
                <c15:categoryFilterException>
                  <c15:sqref>'2.6'!$E$17</c15:sqref>
                  <c15:dLbl>
                    <c:idx val="-1"/>
                    <c:delete val="1"/>
                    <c:extLst>
                      <c:ext uri="{CE6537A1-D6FC-4f65-9D91-7224C49458BB}"/>
                      <c:ext xmlns:c16="http://schemas.microsoft.com/office/drawing/2014/chart" uri="{C3380CC4-5D6E-409C-BE32-E72D297353CC}">
                        <c16:uniqueId val="{00000021-16B9-4D7A-8F3A-743D8179AC6F}"/>
                      </c:ext>
                    </c:extLst>
                  </c15:dLbl>
                </c15:categoryFilterException>
                <c15:categoryFilterException>
                  <c15:sqref>'2.6'!$E$18</c15:sqref>
                  <c15:dLbl>
                    <c:idx val="-1"/>
                    <c:delete val="1"/>
                    <c:extLst>
                      <c:ext uri="{CE6537A1-D6FC-4f65-9D91-7224C49458BB}"/>
                      <c:ext xmlns:c16="http://schemas.microsoft.com/office/drawing/2014/chart" uri="{C3380CC4-5D6E-409C-BE32-E72D297353CC}">
                        <c16:uniqueId val="{00000022-16B9-4D7A-8F3A-743D8179AC6F}"/>
                      </c:ext>
                    </c:extLst>
                  </c15:dLbl>
                </c15:categoryFilterException>
                <c15:categoryFilterException>
                  <c15:sqref>'2.6'!$E$19</c15:sqref>
                  <c15:dLbl>
                    <c:idx val="-1"/>
                    <c:delete val="1"/>
                    <c:extLst>
                      <c:ext uri="{CE6537A1-D6FC-4f65-9D91-7224C49458BB}"/>
                      <c:ext xmlns:c16="http://schemas.microsoft.com/office/drawing/2014/chart" uri="{C3380CC4-5D6E-409C-BE32-E72D297353CC}">
                        <c16:uniqueId val="{00000023-16B9-4D7A-8F3A-743D8179AC6F}"/>
                      </c:ext>
                    </c:extLst>
                  </c15:dLbl>
                </c15:categoryFilterException>
                <c15:categoryFilterException>
                  <c15:sqref>'2.6'!$E$20</c15:sqref>
                  <c15:dLbl>
                    <c:idx val="-1"/>
                    <c:delete val="1"/>
                    <c:extLst>
                      <c:ext uri="{CE6537A1-D6FC-4f65-9D91-7224C49458BB}"/>
                      <c:ext xmlns:c16="http://schemas.microsoft.com/office/drawing/2014/chart" uri="{C3380CC4-5D6E-409C-BE32-E72D297353CC}">
                        <c16:uniqueId val="{00000024-16B9-4D7A-8F3A-743D8179AC6F}"/>
                      </c:ext>
                    </c:extLst>
                  </c15:dLbl>
                </c15:categoryFilterException>
                <c15:categoryFilterException>
                  <c15:sqref>'2.6'!$E$21</c15:sqref>
                  <c15:dLbl>
                    <c:idx val="-1"/>
                    <c:delete val="1"/>
                    <c:extLst>
                      <c:ext uri="{CE6537A1-D6FC-4f65-9D91-7224C49458BB}"/>
                      <c:ext xmlns:c16="http://schemas.microsoft.com/office/drawing/2014/chart" uri="{C3380CC4-5D6E-409C-BE32-E72D297353CC}">
                        <c16:uniqueId val="{00000025-16B9-4D7A-8F3A-743D8179AC6F}"/>
                      </c:ext>
                    </c:extLst>
                  </c15:dLbl>
                </c15:categoryFilterException>
                <c15:categoryFilterException>
                  <c15:sqref>'2.6'!$E$22</c15:sqref>
                  <c15:dLbl>
                    <c:idx val="-1"/>
                    <c:delete val="1"/>
                    <c:extLst>
                      <c:ext uri="{CE6537A1-D6FC-4f65-9D91-7224C49458BB}"/>
                      <c:ext xmlns:c16="http://schemas.microsoft.com/office/drawing/2014/chart" uri="{C3380CC4-5D6E-409C-BE32-E72D297353CC}">
                        <c16:uniqueId val="{00000026-16B9-4D7A-8F3A-743D8179AC6F}"/>
                      </c:ext>
                    </c:extLst>
                  </c15:dLbl>
                </c15:categoryFilterException>
                <c15:categoryFilterException>
                  <c15:sqref>'2.6'!$E$23</c15:sqref>
                  <c15:dLbl>
                    <c:idx val="-1"/>
                    <c:delete val="1"/>
                    <c:extLst>
                      <c:ext uri="{CE6537A1-D6FC-4f65-9D91-7224C49458BB}"/>
                      <c:ext xmlns:c16="http://schemas.microsoft.com/office/drawing/2014/chart" uri="{C3380CC4-5D6E-409C-BE32-E72D297353CC}">
                        <c16:uniqueId val="{00000027-16B9-4D7A-8F3A-743D8179AC6F}"/>
                      </c:ext>
                    </c:extLst>
                  </c15:dLbl>
                </c15:categoryFilterException>
                <c15:categoryFilterException>
                  <c15:sqref>'2.6'!$E$24</c15:sqref>
                  <c15:dLbl>
                    <c:idx val="-1"/>
                    <c:delete val="1"/>
                    <c:extLst>
                      <c:ext uri="{CE6537A1-D6FC-4f65-9D91-7224C49458BB}"/>
                      <c:ext xmlns:c16="http://schemas.microsoft.com/office/drawing/2014/chart" uri="{C3380CC4-5D6E-409C-BE32-E72D297353CC}">
                        <c16:uniqueId val="{00000028-16B9-4D7A-8F3A-743D8179AC6F}"/>
                      </c:ext>
                    </c:extLst>
                  </c15:dLbl>
                </c15:categoryFilterException>
                <c15:categoryFilterException>
                  <c15:sqref>'2.6'!$E$25</c15:sqref>
                  <c15:dLbl>
                    <c:idx val="-1"/>
                    <c:delete val="1"/>
                    <c:extLst>
                      <c:ext uri="{CE6537A1-D6FC-4f65-9D91-7224C49458BB}"/>
                      <c:ext xmlns:c16="http://schemas.microsoft.com/office/drawing/2014/chart" uri="{C3380CC4-5D6E-409C-BE32-E72D297353CC}">
                        <c16:uniqueId val="{00000029-16B9-4D7A-8F3A-743D8179AC6F}"/>
                      </c:ext>
                    </c:extLst>
                  </c15:dLbl>
                </c15:categoryFilterException>
                <c15:categoryFilterException>
                  <c15:sqref>'2.6'!$E$26</c15:sqref>
                  <c15:dLbl>
                    <c:idx val="-1"/>
                    <c:delete val="1"/>
                    <c:extLst>
                      <c:ext uri="{CE6537A1-D6FC-4f65-9D91-7224C49458BB}"/>
                      <c:ext xmlns:c16="http://schemas.microsoft.com/office/drawing/2014/chart" uri="{C3380CC4-5D6E-409C-BE32-E72D297353CC}">
                        <c16:uniqueId val="{0000002A-16B9-4D7A-8F3A-743D8179AC6F}"/>
                      </c:ext>
                    </c:extLst>
                  </c15:dLbl>
                </c15:categoryFilterException>
                <c15:categoryFilterException>
                  <c15:sqref>'2.6'!$E$27</c15:sqref>
                  <c15:dLbl>
                    <c:idx val="-1"/>
                    <c:delete val="1"/>
                    <c:extLst>
                      <c:ext uri="{CE6537A1-D6FC-4f65-9D91-7224C49458BB}"/>
                      <c:ext xmlns:c16="http://schemas.microsoft.com/office/drawing/2014/chart" uri="{C3380CC4-5D6E-409C-BE32-E72D297353CC}">
                        <c16:uniqueId val="{0000002B-16B9-4D7A-8F3A-743D8179AC6F}"/>
                      </c:ext>
                    </c:extLst>
                  </c15:dLbl>
                </c15:categoryFilterException>
                <c15:categoryFilterException>
                  <c15:sqref>'2.6'!$E$28</c15:sqref>
                  <c15:dLbl>
                    <c:idx val="-1"/>
                    <c:delete val="1"/>
                    <c:extLst>
                      <c:ext uri="{CE6537A1-D6FC-4f65-9D91-7224C49458BB}"/>
                      <c:ext xmlns:c16="http://schemas.microsoft.com/office/drawing/2014/chart" uri="{C3380CC4-5D6E-409C-BE32-E72D297353CC}">
                        <c16:uniqueId val="{0000002C-16B9-4D7A-8F3A-743D8179AC6F}"/>
                      </c:ext>
                    </c:extLst>
                  </c15:dLbl>
                </c15:categoryFilterException>
                <c15:categoryFilterException>
                  <c15:sqref>'2.6'!$E$29</c15:sqref>
                  <c15:dLbl>
                    <c:idx val="-1"/>
                    <c:delete val="1"/>
                    <c:extLst>
                      <c:ext uri="{CE6537A1-D6FC-4f65-9D91-7224C49458BB}"/>
                      <c:ext xmlns:c16="http://schemas.microsoft.com/office/drawing/2014/chart" uri="{C3380CC4-5D6E-409C-BE32-E72D297353CC}">
                        <c16:uniqueId val="{0000002D-16B9-4D7A-8F3A-743D8179AC6F}"/>
                      </c:ext>
                    </c:extLst>
                  </c15:dLbl>
                </c15:categoryFilterException>
                <c15:categoryFilterException>
                  <c15:sqref>'2.6'!$E$30</c15:sqref>
                  <c15:dLbl>
                    <c:idx val="-1"/>
                    <c:delete val="1"/>
                    <c:extLst>
                      <c:ext uri="{CE6537A1-D6FC-4f65-9D91-7224C49458BB}"/>
                      <c:ext xmlns:c16="http://schemas.microsoft.com/office/drawing/2014/chart" uri="{C3380CC4-5D6E-409C-BE32-E72D297353CC}">
                        <c16:uniqueId val="{0000002E-16B9-4D7A-8F3A-743D8179AC6F}"/>
                      </c:ext>
                    </c:extLst>
                  </c15:dLbl>
                </c15:categoryFilterException>
                <c15:categoryFilterException>
                  <c15:sqref>'2.6'!$E$31</c15:sqref>
                  <c15:dLbl>
                    <c:idx val="-1"/>
                    <c:delete val="1"/>
                    <c:extLst>
                      <c:ext uri="{CE6537A1-D6FC-4f65-9D91-7224C49458BB}"/>
                      <c:ext xmlns:c16="http://schemas.microsoft.com/office/drawing/2014/chart" uri="{C3380CC4-5D6E-409C-BE32-E72D297353CC}">
                        <c16:uniqueId val="{0000002F-16B9-4D7A-8F3A-743D8179AC6F}"/>
                      </c:ext>
                    </c:extLst>
                  </c15:dLbl>
                </c15:categoryFilterException>
              </c15:categoryFilterExceptions>
            </c:ext>
            <c:ext xmlns:c16="http://schemas.microsoft.com/office/drawing/2014/chart" uri="{C3380CC4-5D6E-409C-BE32-E72D297353CC}">
              <c16:uniqueId val="{00000035-A970-4050-9935-02DCB2176CEC}"/>
            </c:ext>
          </c:extLst>
        </c:ser>
        <c:dLbls>
          <c:dLblPos val="outEnd"/>
          <c:showLegendKey val="0"/>
          <c:showVal val="1"/>
          <c:showCatName val="0"/>
          <c:showSerName val="0"/>
          <c:showPercent val="0"/>
          <c:showBubbleSize val="0"/>
        </c:dLbls>
        <c:gapWidth val="100"/>
        <c:axId val="486513208"/>
        <c:axId val="486513600"/>
      </c:barChart>
      <c:catAx>
        <c:axId val="486513208"/>
        <c:scaling>
          <c:orientation val="minMax"/>
        </c:scaling>
        <c:delete val="0"/>
        <c:axPos val="b"/>
        <c:numFmt formatCode="General" sourceLinked="0"/>
        <c:majorTickMark val="none"/>
        <c:minorTickMark val="none"/>
        <c:tickLblPos val="nextTo"/>
        <c:txPr>
          <a:bodyPr/>
          <a:lstStyle/>
          <a:p>
            <a:pPr>
              <a:defRPr sz="1000" b="0">
                <a:latin typeface="Geomanist" panose="02000503000000020004" pitchFamily="50" charset="0"/>
              </a:defRPr>
            </a:pPr>
            <a:endParaRPr lang="en-US"/>
          </a:p>
        </c:txPr>
        <c:crossAx val="486513600"/>
        <c:crosses val="autoZero"/>
        <c:auto val="1"/>
        <c:lblAlgn val="ctr"/>
        <c:lblOffset val="100"/>
        <c:noMultiLvlLbl val="0"/>
      </c:catAx>
      <c:valAx>
        <c:axId val="486513600"/>
        <c:scaling>
          <c:orientation val="minMax"/>
        </c:scaling>
        <c:delete val="0"/>
        <c:axPos val="l"/>
        <c:majorGridlines>
          <c:spPr>
            <a:ln>
              <a:solidFill>
                <a:schemeClr val="bg1">
                  <a:lumMod val="7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5.2148932084330243E-4"/>
              <c:y val="0.3957197168535751"/>
            </c:manualLayout>
          </c:layout>
          <c:overlay val="0"/>
        </c:title>
        <c:numFmt formatCode="#,##0.00" sourceLinked="1"/>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13208"/>
        <c:crosses val="autoZero"/>
        <c:crossBetween val="between"/>
      </c:valAx>
      <c:spPr>
        <a:ln w="6350">
          <a:solidFill>
            <a:schemeClr val="bg1">
              <a:lumMod val="85000"/>
            </a:schemeClr>
          </a:solidFill>
        </a:ln>
      </c:spPr>
    </c:plotArea>
    <c:legend>
      <c:legendPos val="b"/>
      <c:layout>
        <c:manualLayout>
          <c:xMode val="edge"/>
          <c:yMode val="edge"/>
          <c:x val="0.31969327744144127"/>
          <c:y val="0.94668643017292275"/>
          <c:w val="0.41911438858337818"/>
          <c:h val="4.5015443222883658E-2"/>
        </c:manualLayout>
      </c:layout>
      <c:overlay val="0"/>
      <c:txPr>
        <a:bodyPr/>
        <a:lstStyle/>
        <a:p>
          <a:pPr>
            <a:defRPr>
              <a:latin typeface="Geomanist" panose="02000503000000020004" pitchFamily="50" charset="0"/>
            </a:defRPr>
          </a:pPr>
          <a:endParaRPr lang="en-US"/>
        </a:p>
      </c:txPr>
    </c:legend>
    <c:plotVisOnly val="1"/>
    <c:dispBlanksAs val="gap"/>
    <c:showDLblsOverMax val="0"/>
  </c:chart>
  <c:txPr>
    <a:bodyPr/>
    <a:lstStyle/>
    <a:p>
      <a:pPr>
        <a:defRPr sz="1100" b="1">
          <a:latin typeface="Heuristica" panose="02020603050705020204"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3.1: </a:t>
            </a:r>
            <a:r>
              <a:rPr lang="en-US" sz="2000">
                <a:solidFill>
                  <a:srgbClr val="D4C029"/>
                </a:solidFill>
                <a:latin typeface="Heuristica" panose="02020603050705020204" pitchFamily="18" charset="0"/>
              </a:rPr>
              <a:t>Insurance / Takaful: Assets</a:t>
            </a:r>
          </a:p>
        </c:rich>
      </c:tx>
      <c:layout>
        <c:manualLayout>
          <c:xMode val="edge"/>
          <c:yMode val="edge"/>
          <c:x val="0.2453730206801073"/>
          <c:y val="2.0202020202020202E-3"/>
        </c:manualLayout>
      </c:layout>
      <c:overlay val="0"/>
    </c:title>
    <c:autoTitleDeleted val="0"/>
    <c:plotArea>
      <c:layout>
        <c:manualLayout>
          <c:layoutTarget val="inner"/>
          <c:xMode val="edge"/>
          <c:yMode val="edge"/>
          <c:x val="0.10169683884822317"/>
          <c:y val="4.9660224290145549E-2"/>
          <c:w val="0.8900431800863603"/>
          <c:h val="0.79291084069036821"/>
        </c:manualLayout>
      </c:layout>
      <c:barChart>
        <c:barDir val="col"/>
        <c:grouping val="stacked"/>
        <c:varyColors val="0"/>
        <c:ser>
          <c:idx val="0"/>
          <c:order val="0"/>
          <c:tx>
            <c:strRef>
              <c:f>'3.1'!$D$4:$F$4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2C-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2B-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2A-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1-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3-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4-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3-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D084-4FA4-B3B2-727709EC1758}"/>
                </c:ext>
              </c:extLst>
            </c:dLbl>
            <c:dLbl>
              <c:idx val="9"/>
              <c:delete val="1"/>
              <c:extLst>
                <c:ext xmlns:c15="http://schemas.microsoft.com/office/drawing/2012/chart" uri="{CE6537A1-D6FC-4f65-9D91-7224C49458BB}"/>
                <c:ext xmlns:c16="http://schemas.microsoft.com/office/drawing/2014/chart" uri="{C3380CC4-5D6E-409C-BE32-E72D297353CC}">
                  <c16:uniqueId val="{00000001-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3-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E-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E-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E-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C-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3B88-478F-AF2A-332C7AAD1503}"/>
                </c:ext>
              </c:extLst>
            </c:dLbl>
            <c:dLbl>
              <c:idx val="16"/>
              <c:delete val="1"/>
              <c:extLst>
                <c:ext xmlns:c15="http://schemas.microsoft.com/office/drawing/2012/chart" uri="{CE6537A1-D6FC-4f65-9D91-7224C49458BB}"/>
                <c:ext xmlns:c16="http://schemas.microsoft.com/office/drawing/2014/chart" uri="{C3380CC4-5D6E-409C-BE32-E72D297353CC}">
                  <c16:uniqueId val="{00000019-6833-4B4C-98D8-AD6AE1F15ACC}"/>
                </c:ext>
              </c:extLst>
            </c:dLbl>
            <c:dLbl>
              <c:idx val="17"/>
              <c:delete val="1"/>
              <c:extLst>
                <c:ext xmlns:c15="http://schemas.microsoft.com/office/drawing/2012/chart" uri="{CE6537A1-D6FC-4f65-9D91-7224C49458BB}"/>
                <c:ext xmlns:c16="http://schemas.microsoft.com/office/drawing/2014/chart" uri="{C3380CC4-5D6E-409C-BE32-E72D297353CC}">
                  <c16:uniqueId val="{00000018-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9-0249-4373-B340-FF12BD235875}"/>
                </c:ext>
              </c:extLst>
            </c:dLbl>
            <c:dLbl>
              <c:idx val="19"/>
              <c:delete val="1"/>
              <c:extLst>
                <c:ext xmlns:c15="http://schemas.microsoft.com/office/drawing/2012/chart" uri="{CE6537A1-D6FC-4f65-9D91-7224C49458BB}"/>
                <c:ext xmlns:c16="http://schemas.microsoft.com/office/drawing/2014/chart" uri="{C3380CC4-5D6E-409C-BE32-E72D297353CC}">
                  <c16:uniqueId val="{00000018-DF43-4CEE-A2BA-A78455FFC6B8}"/>
                </c:ext>
              </c:extLst>
            </c:dLbl>
            <c:dLbl>
              <c:idx val="20"/>
              <c:delete val="1"/>
              <c:extLst>
                <c:ext xmlns:c15="http://schemas.microsoft.com/office/drawing/2012/chart" uri="{CE6537A1-D6FC-4f65-9D91-7224C49458BB}"/>
                <c:ext xmlns:c16="http://schemas.microsoft.com/office/drawing/2014/chart" uri="{C3380CC4-5D6E-409C-BE32-E72D297353CC}">
                  <c16:uniqueId val="{00000018-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A-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C-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B-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8-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C-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B-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A-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DEFA-4A6E-9D34-E3E48F20A5BF}"/>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'3.1'!$A$14:$B$63</c15:sqref>
                  </c15:fullRef>
                </c:ext>
              </c:extLst>
              <c:f>'3.1'!$A$34:$B$63</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'3.1'!$D$14:$D$63</c15:sqref>
                  </c15:fullRef>
                </c:ext>
              </c:extLst>
              <c:f>'3.1'!$D$34:$D$63</c:f>
              <c:numCache>
                <c:formatCode>#,##0.00;[Red]#,##0.00</c:formatCode>
                <c:ptCount val="30"/>
                <c:pt idx="0">
                  <c:v>1083.92</c:v>
                </c:pt>
                <c:pt idx="1">
                  <c:v>1092.92</c:v>
                </c:pt>
                <c:pt idx="2">
                  <c:v>1090.27</c:v>
                </c:pt>
                <c:pt idx="3">
                  <c:v>1081.78</c:v>
                </c:pt>
                <c:pt idx="4">
                  <c:v>1124.05</c:v>
                </c:pt>
                <c:pt idx="5">
                  <c:v>1140.74</c:v>
                </c:pt>
                <c:pt idx="6">
                  <c:v>1171.8800000000001</c:v>
                </c:pt>
                <c:pt idx="7">
                  <c:v>1201.3</c:v>
                </c:pt>
                <c:pt idx="8">
                  <c:v>1170.8</c:v>
                </c:pt>
                <c:pt idx="9">
                  <c:v>1238.5899999999999</c:v>
                </c:pt>
                <c:pt idx="10">
                  <c:v>1281.8500000000001</c:v>
                </c:pt>
                <c:pt idx="11">
                  <c:v>1358.6599999999999</c:v>
                </c:pt>
                <c:pt idx="12">
                  <c:v>1344.15</c:v>
                </c:pt>
                <c:pt idx="13">
                  <c:v>1392.31</c:v>
                </c:pt>
                <c:pt idx="14">
                  <c:v>1370.1789999999999</c:v>
                </c:pt>
                <c:pt idx="15">
                  <c:v>1365.9</c:v>
                </c:pt>
                <c:pt idx="16">
                  <c:v>1296.74</c:v>
                </c:pt>
                <c:pt idx="17">
                  <c:v>1245.52</c:v>
                </c:pt>
                <c:pt idx="18">
                  <c:v>1212.3600000000001</c:v>
                </c:pt>
                <c:pt idx="19">
                  <c:v>1240.05</c:v>
                </c:pt>
                <c:pt idx="20">
                  <c:v>1289.8000000000002</c:v>
                </c:pt>
                <c:pt idx="21">
                  <c:v>1281.5630000000001</c:v>
                </c:pt>
                <c:pt idx="22">
                  <c:v>1284.5</c:v>
                </c:pt>
                <c:pt idx="23">
                  <c:v>1357.67</c:v>
                </c:pt>
                <c:pt idx="24">
                  <c:v>1384.65</c:v>
                </c:pt>
                <c:pt idx="25">
                  <c:v>1409.41</c:v>
                </c:pt>
                <c:pt idx="26">
                  <c:v>1450.96</c:v>
                </c:pt>
                <c:pt idx="27">
                  <c:v>1526.26</c:v>
                </c:pt>
                <c:pt idx="28">
                  <c:v>1389.8020000000001</c:v>
                </c:pt>
                <c:pt idx="29">
                  <c:v>1449.3899999999999</c:v>
                </c:pt>
              </c:numCache>
            </c:numRef>
          </c:val>
          <c:extLst>
            <c:ext xmlns:c15="http://schemas.microsoft.com/office/drawing/2012/chart" uri="{02D57815-91ED-43cb-92C2-25804820EDAC}">
              <c15:categoryFilterExceptions>
                <c15:categoryFilterException>
                  <c15:sqref>'3.1'!$D$22</c15:sqref>
                  <c15:dLbl>
                    <c:idx val="-1"/>
                    <c:delete val="1"/>
                    <c:extLst>
                      <c:ext uri="{CE6537A1-D6FC-4f65-9D91-7224C49458BB}"/>
                      <c:ext xmlns:c16="http://schemas.microsoft.com/office/drawing/2014/chart" uri="{C3380CC4-5D6E-409C-BE32-E72D297353CC}">
                        <c16:uniqueId val="{00000000-1CCB-4A92-A02E-2C1A487A6FAB}"/>
                      </c:ext>
                    </c:extLst>
                  </c15:dLbl>
                </c15:categoryFilterException>
                <c15:categoryFilterException>
                  <c15:sqref>'3.1'!$D$23</c15:sqref>
                  <c15:dLbl>
                    <c:idx val="-1"/>
                    <c:delete val="1"/>
                    <c:extLst>
                      <c:ext uri="{CE6537A1-D6FC-4f65-9D91-7224C49458BB}"/>
                      <c:ext xmlns:c16="http://schemas.microsoft.com/office/drawing/2014/chart" uri="{C3380CC4-5D6E-409C-BE32-E72D297353CC}">
                        <c16:uniqueId val="{00000001-1CCB-4A92-A02E-2C1A487A6FAB}"/>
                      </c:ext>
                    </c:extLst>
                  </c15:dLbl>
                </c15:categoryFilterException>
                <c15:categoryFilterException>
                  <c15:sqref>'3.1'!$D$24</c15:sqref>
                  <c15:dLbl>
                    <c:idx val="-1"/>
                    <c:delete val="1"/>
                    <c:extLst>
                      <c:ext uri="{CE6537A1-D6FC-4f65-9D91-7224C49458BB}"/>
                      <c:ext xmlns:c16="http://schemas.microsoft.com/office/drawing/2014/chart" uri="{C3380CC4-5D6E-409C-BE32-E72D297353CC}">
                        <c16:uniqueId val="{00000002-1CCB-4A92-A02E-2C1A487A6FAB}"/>
                      </c:ext>
                    </c:extLst>
                  </c15:dLbl>
                </c15:categoryFilterException>
                <c15:categoryFilterException>
                  <c15:sqref>'3.1'!$D$25</c15:sqref>
                  <c15:dLbl>
                    <c:idx val="-1"/>
                    <c:delete val="1"/>
                    <c:extLst>
                      <c:ext uri="{CE6537A1-D6FC-4f65-9D91-7224C49458BB}"/>
                      <c:ext xmlns:c16="http://schemas.microsoft.com/office/drawing/2014/chart" uri="{C3380CC4-5D6E-409C-BE32-E72D297353CC}">
                        <c16:uniqueId val="{00000003-1CCB-4A92-A02E-2C1A487A6FAB}"/>
                      </c:ext>
                    </c:extLst>
                  </c15:dLbl>
                </c15:categoryFilterException>
                <c15:categoryFilterException>
                  <c15:sqref>'3.1'!$D$26</c15:sqref>
                  <c15:dLbl>
                    <c:idx val="-1"/>
                    <c:delete val="1"/>
                    <c:extLst>
                      <c:ext uri="{CE6537A1-D6FC-4f65-9D91-7224C49458BB}"/>
                      <c:ext xmlns:c16="http://schemas.microsoft.com/office/drawing/2014/chart" uri="{C3380CC4-5D6E-409C-BE32-E72D297353CC}">
                        <c16:uniqueId val="{00000004-1CCB-4A92-A02E-2C1A487A6FAB}"/>
                      </c:ext>
                    </c:extLst>
                  </c15:dLbl>
                </c15:categoryFilterException>
                <c15:categoryFilterException>
                  <c15:sqref>'3.1'!$D$27</c15:sqref>
                  <c15:dLbl>
                    <c:idx val="-1"/>
                    <c:delete val="1"/>
                    <c:extLst>
                      <c:ext uri="{CE6537A1-D6FC-4f65-9D91-7224C49458BB}"/>
                      <c:ext xmlns:c16="http://schemas.microsoft.com/office/drawing/2014/chart" uri="{C3380CC4-5D6E-409C-BE32-E72D297353CC}">
                        <c16:uniqueId val="{00000005-1CCB-4A92-A02E-2C1A487A6FAB}"/>
                      </c:ext>
                    </c:extLst>
                  </c15:dLbl>
                </c15:categoryFilterException>
                <c15:categoryFilterException>
                  <c15:sqref>'3.1'!$D$28</c15:sqref>
                  <c15:dLbl>
                    <c:idx val="-1"/>
                    <c:delete val="1"/>
                    <c:extLst>
                      <c:ext uri="{CE6537A1-D6FC-4f65-9D91-7224C49458BB}"/>
                      <c:ext xmlns:c16="http://schemas.microsoft.com/office/drawing/2014/chart" uri="{C3380CC4-5D6E-409C-BE32-E72D297353CC}">
                        <c16:uniqueId val="{00000006-1CCB-4A92-A02E-2C1A487A6FAB}"/>
                      </c:ext>
                    </c:extLst>
                  </c15:dLbl>
                </c15:categoryFilterException>
                <c15:categoryFilterException>
                  <c15:sqref>'3.1'!$D$29</c15:sqref>
                  <c15:dLbl>
                    <c:idx val="-1"/>
                    <c:delete val="1"/>
                    <c:extLst>
                      <c:ext uri="{CE6537A1-D6FC-4f65-9D91-7224C49458BB}"/>
                      <c:ext xmlns:c16="http://schemas.microsoft.com/office/drawing/2014/chart" uri="{C3380CC4-5D6E-409C-BE32-E72D297353CC}">
                        <c16:uniqueId val="{00000007-1CCB-4A92-A02E-2C1A487A6FAB}"/>
                      </c:ext>
                    </c:extLst>
                  </c15:dLbl>
                </c15:categoryFilterException>
                <c15:categoryFilterException>
                  <c15:sqref>'3.1'!$D$30</c15:sqref>
                  <c15:dLbl>
                    <c:idx val="-1"/>
                    <c:delete val="1"/>
                    <c:extLst>
                      <c:ext uri="{CE6537A1-D6FC-4f65-9D91-7224C49458BB}"/>
                      <c:ext xmlns:c16="http://schemas.microsoft.com/office/drawing/2014/chart" uri="{C3380CC4-5D6E-409C-BE32-E72D297353CC}">
                        <c16:uniqueId val="{00000008-1CCB-4A92-A02E-2C1A487A6FAB}"/>
                      </c:ext>
                    </c:extLst>
                  </c15:dLbl>
                </c15:categoryFilterException>
                <c15:categoryFilterException>
                  <c15:sqref>'3.1'!$D$31</c15:sqref>
                  <c15:dLbl>
                    <c:idx val="-1"/>
                    <c:delete val="1"/>
                    <c:extLst>
                      <c:ext uri="{CE6537A1-D6FC-4f65-9D91-7224C49458BB}"/>
                      <c:ext xmlns:c16="http://schemas.microsoft.com/office/drawing/2014/chart" uri="{C3380CC4-5D6E-409C-BE32-E72D297353CC}">
                        <c16:uniqueId val="{00000009-1CCB-4A92-A02E-2C1A487A6FAB}"/>
                      </c:ext>
                    </c:extLst>
                  </c15:dLbl>
                </c15:categoryFilterException>
                <c15:categoryFilterException>
                  <c15:sqref>'3.1'!$D$32</c15:sqref>
                  <c15:dLbl>
                    <c:idx val="-1"/>
                    <c:delete val="1"/>
                    <c:extLst>
                      <c:ext uri="{CE6537A1-D6FC-4f65-9D91-7224C49458BB}"/>
                      <c:ext xmlns:c16="http://schemas.microsoft.com/office/drawing/2014/chart" uri="{C3380CC4-5D6E-409C-BE32-E72D297353CC}">
                        <c16:uniqueId val="{0000000A-1CCB-4A92-A02E-2C1A487A6FAB}"/>
                      </c:ext>
                    </c:extLst>
                  </c15:dLbl>
                </c15:categoryFilterException>
                <c15:categoryFilterException>
                  <c15:sqref>'3.1'!$D$33</c15:sqref>
                  <c15:dLbl>
                    <c:idx val="-1"/>
                    <c:delete val="1"/>
                    <c:extLst>
                      <c:ext uri="{CE6537A1-D6FC-4f65-9D91-7224C49458BB}"/>
                      <c:ext xmlns:c16="http://schemas.microsoft.com/office/drawing/2014/chart" uri="{C3380CC4-5D6E-409C-BE32-E72D297353CC}">
                        <c16:uniqueId val="{0000000B-1CCB-4A92-A02E-2C1A487A6FAB}"/>
                      </c:ext>
                    </c:extLst>
                  </c15:dLbl>
                </c15:categoryFilterException>
              </c15:categoryFilterExceptions>
            </c:ext>
            <c:ext xmlns:c16="http://schemas.microsoft.com/office/drawing/2014/chart" uri="{C3380CC4-5D6E-409C-BE32-E72D297353CC}">
              <c16:uniqueId val="{00000001-59FB-482F-9B56-3BC5660C9ACB}"/>
            </c:ext>
          </c:extLst>
        </c:ser>
        <c:ser>
          <c:idx val="1"/>
          <c:order val="1"/>
          <c:tx>
            <c:strRef>
              <c:f>'3.1'!$G$4:$I$4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19-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18-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17-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1-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2-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1-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2-9CC9-46EB-9395-0AE1BBAE4321}"/>
                </c:ext>
              </c:extLst>
            </c:dLbl>
            <c:dLbl>
              <c:idx val="10"/>
              <c:delete val="1"/>
              <c:extLst>
                <c:ext xmlns:c15="http://schemas.microsoft.com/office/drawing/2012/chart" uri="{CE6537A1-D6FC-4f65-9D91-7224C49458BB}"/>
                <c:ext xmlns:c16="http://schemas.microsoft.com/office/drawing/2014/chart" uri="{C3380CC4-5D6E-409C-BE32-E72D297353CC}">
                  <c16:uniqueId val="{00000001-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D-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D-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D-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D-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701E-4FF3-AF6E-F1303B995720}"/>
                </c:ext>
              </c:extLst>
            </c:dLbl>
            <c:dLbl>
              <c:idx val="16"/>
              <c:delete val="1"/>
              <c:extLst>
                <c:ext xmlns:c15="http://schemas.microsoft.com/office/drawing/2012/chart" uri="{CE6537A1-D6FC-4f65-9D91-7224C49458BB}"/>
                <c:ext xmlns:c16="http://schemas.microsoft.com/office/drawing/2014/chart" uri="{C3380CC4-5D6E-409C-BE32-E72D297353CC}">
                  <c16:uniqueId val="{0000001A-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9-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B-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A-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9-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B-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A-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9-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A-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9-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9-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CF26-4535-BEFD-865A0D513078}"/>
                </c:ext>
              </c:extLst>
            </c:dLbl>
            <c:spPr>
              <a:noFill/>
              <a:ln>
                <a:noFill/>
              </a:ln>
              <a:effectLst/>
            </c:spPr>
            <c:txPr>
              <a:bodyPr wrap="square" lIns="38100" tIns="19050" rIns="38100" bIns="19050" anchor="ctr">
                <a:spAutoFit/>
              </a:bodyPr>
              <a:lstStyle/>
              <a:p>
                <a:pPr>
                  <a:defRPr sz="1200">
                    <a:solidFill>
                      <a:sysClr val="windowText" lastClr="000000"/>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'3.1'!$A$14:$B$63</c15:sqref>
                  </c15:fullRef>
                </c:ext>
              </c:extLst>
              <c:f>'3.1'!$A$34:$B$63</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'3.1'!$G$14:$G$63</c15:sqref>
                  </c15:fullRef>
                </c:ext>
              </c:extLst>
              <c:f>'3.1'!$G$34:$G$63</c:f>
              <c:numCache>
                <c:formatCode>#,##0.00;[Red]#,##0.00</c:formatCode>
                <c:ptCount val="30"/>
                <c:pt idx="0">
                  <c:v>502.15000000000003</c:v>
                </c:pt>
                <c:pt idx="1">
                  <c:v>517.14</c:v>
                </c:pt>
                <c:pt idx="2">
                  <c:v>532.06000000000006</c:v>
                </c:pt>
                <c:pt idx="3">
                  <c:v>543.98</c:v>
                </c:pt>
                <c:pt idx="4">
                  <c:v>541.16</c:v>
                </c:pt>
                <c:pt idx="5">
                  <c:v>568.73</c:v>
                </c:pt>
                <c:pt idx="6">
                  <c:v>546.98</c:v>
                </c:pt>
                <c:pt idx="7">
                  <c:v>561.11</c:v>
                </c:pt>
                <c:pt idx="8">
                  <c:v>597.59</c:v>
                </c:pt>
                <c:pt idx="9">
                  <c:v>582</c:v>
                </c:pt>
                <c:pt idx="10">
                  <c:v>571.01</c:v>
                </c:pt>
                <c:pt idx="11">
                  <c:v>595.74</c:v>
                </c:pt>
                <c:pt idx="12">
                  <c:v>601.95000000000005</c:v>
                </c:pt>
                <c:pt idx="13">
                  <c:v>616.69000000000005</c:v>
                </c:pt>
                <c:pt idx="14">
                  <c:v>619.07100000000003</c:v>
                </c:pt>
                <c:pt idx="15">
                  <c:v>610.01</c:v>
                </c:pt>
                <c:pt idx="16">
                  <c:v>630.11</c:v>
                </c:pt>
                <c:pt idx="17">
                  <c:v>618.91499999999996</c:v>
                </c:pt>
                <c:pt idx="18">
                  <c:v>624.45000000000005</c:v>
                </c:pt>
                <c:pt idx="19">
                  <c:v>642.26</c:v>
                </c:pt>
                <c:pt idx="20">
                  <c:v>649.68000000000006</c:v>
                </c:pt>
                <c:pt idx="21">
                  <c:v>642.32500000000005</c:v>
                </c:pt>
                <c:pt idx="22">
                  <c:v>642.30200000000002</c:v>
                </c:pt>
                <c:pt idx="23">
                  <c:v>662.62</c:v>
                </c:pt>
                <c:pt idx="24">
                  <c:v>660.04</c:v>
                </c:pt>
                <c:pt idx="25">
                  <c:v>618.04</c:v>
                </c:pt>
                <c:pt idx="26">
                  <c:v>608.58000000000004</c:v>
                </c:pt>
                <c:pt idx="27">
                  <c:v>604.88</c:v>
                </c:pt>
                <c:pt idx="28">
                  <c:v>608.81100000000004</c:v>
                </c:pt>
                <c:pt idx="29">
                  <c:v>640.18000000000006</c:v>
                </c:pt>
              </c:numCache>
            </c:numRef>
          </c:val>
          <c:extLst>
            <c:ext xmlns:c15="http://schemas.microsoft.com/office/drawing/2012/chart" uri="{02D57815-91ED-43cb-92C2-25804820EDAC}">
              <c15:categoryFilterExceptions>
                <c15:categoryFilterException>
                  <c15:sqref>'3.1'!$G$22</c15:sqref>
                  <c15:dLbl>
                    <c:idx val="-1"/>
                    <c:delete val="1"/>
                    <c:extLst>
                      <c:ext uri="{CE6537A1-D6FC-4f65-9D91-7224C49458BB}"/>
                      <c:ext xmlns:c16="http://schemas.microsoft.com/office/drawing/2014/chart" uri="{C3380CC4-5D6E-409C-BE32-E72D297353CC}">
                        <c16:uniqueId val="{0000000C-1CCB-4A92-A02E-2C1A487A6FAB}"/>
                      </c:ext>
                    </c:extLst>
                  </c15:dLbl>
                </c15:categoryFilterException>
                <c15:categoryFilterException>
                  <c15:sqref>'3.1'!$G$23</c15:sqref>
                  <c15:dLbl>
                    <c:idx val="-1"/>
                    <c:delete val="1"/>
                    <c:extLst>
                      <c:ext uri="{CE6537A1-D6FC-4f65-9D91-7224C49458BB}"/>
                      <c:ext xmlns:c16="http://schemas.microsoft.com/office/drawing/2014/chart" uri="{C3380CC4-5D6E-409C-BE32-E72D297353CC}">
                        <c16:uniqueId val="{0000000D-1CCB-4A92-A02E-2C1A487A6FAB}"/>
                      </c:ext>
                    </c:extLst>
                  </c15:dLbl>
                </c15:categoryFilterException>
                <c15:categoryFilterException>
                  <c15:sqref>'3.1'!$G$24</c15:sqref>
                  <c15:dLbl>
                    <c:idx val="-1"/>
                    <c:delete val="1"/>
                    <c:extLst>
                      <c:ext uri="{CE6537A1-D6FC-4f65-9D91-7224C49458BB}"/>
                      <c:ext xmlns:c16="http://schemas.microsoft.com/office/drawing/2014/chart" uri="{C3380CC4-5D6E-409C-BE32-E72D297353CC}">
                        <c16:uniqueId val="{0000000E-1CCB-4A92-A02E-2C1A487A6FAB}"/>
                      </c:ext>
                    </c:extLst>
                  </c15:dLbl>
                </c15:categoryFilterException>
                <c15:categoryFilterException>
                  <c15:sqref>'3.1'!$G$25</c15:sqref>
                  <c15:dLbl>
                    <c:idx val="-1"/>
                    <c:delete val="1"/>
                    <c:extLst>
                      <c:ext uri="{CE6537A1-D6FC-4f65-9D91-7224C49458BB}"/>
                      <c:ext xmlns:c16="http://schemas.microsoft.com/office/drawing/2014/chart" uri="{C3380CC4-5D6E-409C-BE32-E72D297353CC}">
                        <c16:uniqueId val="{0000000F-1CCB-4A92-A02E-2C1A487A6FAB}"/>
                      </c:ext>
                    </c:extLst>
                  </c15:dLbl>
                </c15:categoryFilterException>
                <c15:categoryFilterException>
                  <c15:sqref>'3.1'!$G$26</c15:sqref>
                  <c15:dLbl>
                    <c:idx val="-1"/>
                    <c:delete val="1"/>
                    <c:extLst>
                      <c:ext uri="{CE6537A1-D6FC-4f65-9D91-7224C49458BB}"/>
                      <c:ext xmlns:c16="http://schemas.microsoft.com/office/drawing/2014/chart" uri="{C3380CC4-5D6E-409C-BE32-E72D297353CC}">
                        <c16:uniqueId val="{00000010-1CCB-4A92-A02E-2C1A487A6FAB}"/>
                      </c:ext>
                    </c:extLst>
                  </c15:dLbl>
                </c15:categoryFilterException>
                <c15:categoryFilterException>
                  <c15:sqref>'3.1'!$G$27</c15:sqref>
                  <c15:dLbl>
                    <c:idx val="-1"/>
                    <c:delete val="1"/>
                    <c:extLst>
                      <c:ext uri="{CE6537A1-D6FC-4f65-9D91-7224C49458BB}"/>
                      <c:ext xmlns:c16="http://schemas.microsoft.com/office/drawing/2014/chart" uri="{C3380CC4-5D6E-409C-BE32-E72D297353CC}">
                        <c16:uniqueId val="{00000011-1CCB-4A92-A02E-2C1A487A6FAB}"/>
                      </c:ext>
                    </c:extLst>
                  </c15:dLbl>
                </c15:categoryFilterException>
                <c15:categoryFilterException>
                  <c15:sqref>'3.1'!$G$28</c15:sqref>
                  <c15:dLbl>
                    <c:idx val="-1"/>
                    <c:delete val="1"/>
                    <c:extLst>
                      <c:ext uri="{CE6537A1-D6FC-4f65-9D91-7224C49458BB}"/>
                      <c:ext xmlns:c16="http://schemas.microsoft.com/office/drawing/2014/chart" uri="{C3380CC4-5D6E-409C-BE32-E72D297353CC}">
                        <c16:uniqueId val="{00000012-1CCB-4A92-A02E-2C1A487A6FAB}"/>
                      </c:ext>
                    </c:extLst>
                  </c15:dLbl>
                </c15:categoryFilterException>
                <c15:categoryFilterException>
                  <c15:sqref>'3.1'!$G$29</c15:sqref>
                  <c15:dLbl>
                    <c:idx val="-1"/>
                    <c:delete val="1"/>
                    <c:extLst>
                      <c:ext uri="{CE6537A1-D6FC-4f65-9D91-7224C49458BB}"/>
                      <c:ext xmlns:c16="http://schemas.microsoft.com/office/drawing/2014/chart" uri="{C3380CC4-5D6E-409C-BE32-E72D297353CC}">
                        <c16:uniqueId val="{00000013-1CCB-4A92-A02E-2C1A487A6FAB}"/>
                      </c:ext>
                    </c:extLst>
                  </c15:dLbl>
                </c15:categoryFilterException>
                <c15:categoryFilterException>
                  <c15:sqref>'3.1'!$G$30</c15:sqref>
                  <c15:dLbl>
                    <c:idx val="-1"/>
                    <c:delete val="1"/>
                    <c:extLst>
                      <c:ext uri="{CE6537A1-D6FC-4f65-9D91-7224C49458BB}"/>
                      <c:ext xmlns:c16="http://schemas.microsoft.com/office/drawing/2014/chart" uri="{C3380CC4-5D6E-409C-BE32-E72D297353CC}">
                        <c16:uniqueId val="{00000014-1CCB-4A92-A02E-2C1A487A6FAB}"/>
                      </c:ext>
                    </c:extLst>
                  </c15:dLbl>
                </c15:categoryFilterException>
                <c15:categoryFilterException>
                  <c15:sqref>'3.1'!$G$31</c15:sqref>
                  <c15:dLbl>
                    <c:idx val="-1"/>
                    <c:delete val="1"/>
                    <c:extLst>
                      <c:ext uri="{CE6537A1-D6FC-4f65-9D91-7224C49458BB}"/>
                      <c:ext xmlns:c16="http://schemas.microsoft.com/office/drawing/2014/chart" uri="{C3380CC4-5D6E-409C-BE32-E72D297353CC}">
                        <c16:uniqueId val="{00000015-1CCB-4A92-A02E-2C1A487A6FAB}"/>
                      </c:ext>
                    </c:extLst>
                  </c15:dLbl>
                </c15:categoryFilterException>
                <c15:categoryFilterException>
                  <c15:sqref>'3.1'!$G$32</c15:sqref>
                  <c15:dLbl>
                    <c:idx val="-1"/>
                    <c:delete val="1"/>
                    <c:extLst>
                      <c:ext uri="{CE6537A1-D6FC-4f65-9D91-7224C49458BB}"/>
                      <c:ext xmlns:c16="http://schemas.microsoft.com/office/drawing/2014/chart" uri="{C3380CC4-5D6E-409C-BE32-E72D297353CC}">
                        <c16:uniqueId val="{00000016-1CCB-4A92-A02E-2C1A487A6FAB}"/>
                      </c:ext>
                    </c:extLst>
                  </c15:dLbl>
                </c15:categoryFilterException>
                <c15:categoryFilterException>
                  <c15:sqref>'3.1'!$G$33</c15:sqref>
                  <c15:dLbl>
                    <c:idx val="-1"/>
                    <c:delete val="1"/>
                    <c:extLst>
                      <c:ext uri="{CE6537A1-D6FC-4f65-9D91-7224C49458BB}"/>
                      <c:ext xmlns:c16="http://schemas.microsoft.com/office/drawing/2014/chart" uri="{C3380CC4-5D6E-409C-BE32-E72D297353CC}">
                        <c16:uniqueId val="{00000017-1CCB-4A92-A02E-2C1A487A6FAB}"/>
                      </c:ext>
                    </c:extLst>
                  </c15:dLbl>
                </c15:categoryFilterException>
              </c15:categoryFilterExceptions>
            </c:ext>
            <c:ext xmlns:c16="http://schemas.microsoft.com/office/drawing/2014/chart" uri="{C3380CC4-5D6E-409C-BE32-E72D297353CC}">
              <c16:uniqueId val="{00000003-59FB-482F-9B56-3BC5660C9ACB}"/>
            </c:ext>
          </c:extLst>
        </c:ser>
        <c:dLbls>
          <c:showLegendKey val="0"/>
          <c:showVal val="1"/>
          <c:showCatName val="0"/>
          <c:showSerName val="0"/>
          <c:showPercent val="0"/>
          <c:showBubbleSize val="0"/>
        </c:dLbls>
        <c:gapWidth val="55"/>
        <c:overlap val="100"/>
        <c:axId val="486515560"/>
        <c:axId val="486515952"/>
      </c:barChart>
      <c:lineChart>
        <c:grouping val="standard"/>
        <c:varyColors val="0"/>
        <c:ser>
          <c:idx val="2"/>
          <c:order val="2"/>
          <c:tx>
            <c:strRef>
              <c:f>'3.1'!$C$4:$C$5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05-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04-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03-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E9DA-4957-80EA-2F006244E6DA}"/>
                </c:ext>
              </c:extLst>
            </c:dLbl>
            <c:dLbl>
              <c:idx val="5"/>
              <c:delete val="1"/>
              <c:extLst>
                <c:ext xmlns:c15="http://schemas.microsoft.com/office/drawing/2012/chart" uri="{CE6537A1-D6FC-4f65-9D91-7224C49458BB}"/>
                <c:ext xmlns:c16="http://schemas.microsoft.com/office/drawing/2014/chart" uri="{C3380CC4-5D6E-409C-BE32-E72D297353CC}">
                  <c16:uniqueId val="{00000002-C0DD-45C9-9025-15FD89BB377F}"/>
                </c:ext>
              </c:extLst>
            </c:dLbl>
            <c:dLbl>
              <c:idx val="6"/>
              <c:delete val="1"/>
              <c:extLst>
                <c:ext xmlns:c15="http://schemas.microsoft.com/office/drawing/2012/chart" uri="{CE6537A1-D6FC-4f65-9D91-7224C49458BB}"/>
                <c:ext xmlns:c16="http://schemas.microsoft.com/office/drawing/2014/chart" uri="{C3380CC4-5D6E-409C-BE32-E72D297353CC}">
                  <c16:uniqueId val="{00000000-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0-A54F-4ABF-80ED-B38E462B6969}"/>
                </c:ext>
              </c:extLst>
            </c:dLbl>
            <c:dLbl>
              <c:idx val="8"/>
              <c:delete val="1"/>
              <c:extLst>
                <c:ext xmlns:c15="http://schemas.microsoft.com/office/drawing/2012/chart" uri="{CE6537A1-D6FC-4f65-9D91-7224C49458BB}"/>
                <c:ext xmlns:c16="http://schemas.microsoft.com/office/drawing/2014/chart" uri="{C3380CC4-5D6E-409C-BE32-E72D297353CC}">
                  <c16:uniqueId val="{00000000-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0-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0-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0-619B-4C3F-9B44-BFAA9E65389C}"/>
                </c:ext>
              </c:extLst>
            </c:dLbl>
            <c:dLbl>
              <c:idx val="12"/>
              <c:delete val="1"/>
              <c:extLst>
                <c:ext xmlns:c15="http://schemas.microsoft.com/office/drawing/2012/chart" uri="{CE6537A1-D6FC-4f65-9D91-7224C49458BB}"/>
                <c:ext xmlns:c16="http://schemas.microsoft.com/office/drawing/2014/chart" uri="{C3380CC4-5D6E-409C-BE32-E72D297353CC}">
                  <c16:uniqueId val="{0000000C-622E-4DF6-B44C-5CFF7594A19A}"/>
                </c:ext>
              </c:extLst>
            </c:dLbl>
            <c:dLbl>
              <c:idx val="13"/>
              <c:delete val="1"/>
              <c:extLst>
                <c:ext xmlns:c15="http://schemas.microsoft.com/office/drawing/2012/chart" uri="{CE6537A1-D6FC-4f65-9D91-7224C49458BB}"/>
                <c:ext xmlns:c16="http://schemas.microsoft.com/office/drawing/2014/chart" uri="{C3380CC4-5D6E-409C-BE32-E72D297353CC}">
                  <c16:uniqueId val="{0000000C-7AF4-4277-8452-0526E9E900FF}"/>
                </c:ext>
              </c:extLst>
            </c:dLbl>
            <c:dLbl>
              <c:idx val="14"/>
              <c:delete val="1"/>
              <c:extLst>
                <c:ext xmlns:c15="http://schemas.microsoft.com/office/drawing/2012/chart" uri="{CE6537A1-D6FC-4f65-9D91-7224C49458BB}"/>
                <c:ext xmlns:c16="http://schemas.microsoft.com/office/drawing/2014/chart" uri="{C3380CC4-5D6E-409C-BE32-E72D297353CC}">
                  <c16:uniqueId val="{0000000C-D218-46AC-B509-011BA0EF196C}"/>
                </c:ext>
              </c:extLst>
            </c:dLbl>
            <c:dLbl>
              <c:idx val="15"/>
              <c:delete val="1"/>
              <c:extLst>
                <c:ext xmlns:c15="http://schemas.microsoft.com/office/drawing/2012/chart" uri="{CE6537A1-D6FC-4f65-9D91-7224C49458BB}"/>
                <c:ext xmlns:c16="http://schemas.microsoft.com/office/drawing/2014/chart" uri="{C3380CC4-5D6E-409C-BE32-E72D297353CC}">
                  <c16:uniqueId val="{0000000E-3976-4B13-AEAC-A861D41FD573}"/>
                </c:ext>
              </c:extLst>
            </c:dLbl>
            <c:dLbl>
              <c:idx val="16"/>
              <c:delete val="1"/>
              <c:extLst>
                <c:ext xmlns:c15="http://schemas.microsoft.com/office/drawing/2012/chart" uri="{CE6537A1-D6FC-4f65-9D91-7224C49458BB}"/>
                <c:ext xmlns:c16="http://schemas.microsoft.com/office/drawing/2014/chart" uri="{C3380CC4-5D6E-409C-BE32-E72D297353CC}">
                  <c16:uniqueId val="{00000019-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8-6833-4B4C-98D8-AD6AE1F15ACC}"/>
                </c:ext>
              </c:extLst>
            </c:dLbl>
            <c:dLbl>
              <c:idx val="18"/>
              <c:delete val="1"/>
              <c:extLst>
                <c:ext xmlns:c15="http://schemas.microsoft.com/office/drawing/2012/chart" uri="{CE6537A1-D6FC-4f65-9D91-7224C49458BB}"/>
                <c:ext xmlns:c16="http://schemas.microsoft.com/office/drawing/2014/chart" uri="{C3380CC4-5D6E-409C-BE32-E72D297353CC}">
                  <c16:uniqueId val="{0000001A-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8-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DF43-4CEE-A2BA-A78455FFC6B8}"/>
                </c:ext>
              </c:extLst>
            </c:dLbl>
            <c:dLbl>
              <c:idx val="21"/>
              <c:delete val="1"/>
              <c:extLst>
                <c:ext xmlns:c15="http://schemas.microsoft.com/office/drawing/2012/chart" uri="{CE6537A1-D6FC-4f65-9D91-7224C49458BB}"/>
                <c:ext xmlns:c16="http://schemas.microsoft.com/office/drawing/2014/chart" uri="{C3380CC4-5D6E-409C-BE32-E72D297353CC}">
                  <c16:uniqueId val="{0000001A-F4CC-46F9-AEBF-72AA228C718A}"/>
                </c:ext>
              </c:extLst>
            </c:dLbl>
            <c:dLbl>
              <c:idx val="22"/>
              <c:delete val="1"/>
              <c:extLst>
                <c:ext xmlns:c15="http://schemas.microsoft.com/office/drawing/2012/chart" uri="{CE6537A1-D6FC-4f65-9D91-7224C49458BB}"/>
                <c:ext xmlns:c16="http://schemas.microsoft.com/office/drawing/2014/chart" uri="{C3380CC4-5D6E-409C-BE32-E72D297353CC}">
                  <c16:uniqueId val="{00000018-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9-DCA5-4234-9873-5593B3B1656B}"/>
                </c:ext>
              </c:extLst>
            </c:dLbl>
            <c:dLbl>
              <c:idx val="24"/>
              <c:delete val="1"/>
              <c:extLst>
                <c:ext xmlns:c15="http://schemas.microsoft.com/office/drawing/2012/chart" uri="{CE6537A1-D6FC-4f65-9D91-7224C49458BB}"/>
                <c:ext xmlns:c16="http://schemas.microsoft.com/office/drawing/2014/chart" uri="{C3380CC4-5D6E-409C-BE32-E72D297353CC}">
                  <c16:uniqueId val="{00000019-0075-4D1C-BF94-B3B5FA2B59EF}"/>
                </c:ext>
              </c:extLst>
            </c:dLbl>
            <c:dLbl>
              <c:idx val="25"/>
              <c:delete val="1"/>
              <c:extLst>
                <c:ext xmlns:c15="http://schemas.microsoft.com/office/drawing/2012/chart" uri="{CE6537A1-D6FC-4f65-9D91-7224C49458BB}"/>
                <c:ext xmlns:c16="http://schemas.microsoft.com/office/drawing/2014/chart" uri="{C3380CC4-5D6E-409C-BE32-E72D297353CC}">
                  <c16:uniqueId val="{0000001A-588A-45E1-BAEA-4460B2A815FB}"/>
                </c:ext>
              </c:extLst>
            </c:dLbl>
            <c:dLbl>
              <c:idx val="26"/>
              <c:delete val="1"/>
              <c:extLst>
                <c:ext xmlns:c15="http://schemas.microsoft.com/office/drawing/2012/chart" uri="{CE6537A1-D6FC-4f65-9D91-7224C49458BB}"/>
                <c:ext xmlns:c16="http://schemas.microsoft.com/office/drawing/2014/chart" uri="{C3380CC4-5D6E-409C-BE32-E72D297353CC}">
                  <c16:uniqueId val="{00000018-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8-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8-CF26-4535-BEFD-865A0D513078}"/>
                </c:ext>
              </c:extLst>
            </c:dLbl>
            <c:dLbl>
              <c:idx val="29"/>
              <c:layout>
                <c:manualLayout>
                  <c:x val="-1.466275659824047E-2"/>
                  <c:y val="-3.83838383838384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EFA-4A6E-9D34-E3E48F20A5BF}"/>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'3.1'!$A$14:$B$63</c15:sqref>
                  </c15:fullRef>
                </c:ext>
              </c:extLst>
              <c:f>'3.1'!$A$34:$B$63</c:f>
              <c:multiLvlStrCache>
                <c:ptCount val="30"/>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'3.1'!$C$14:$C$63</c15:sqref>
                  </c15:fullRef>
                </c:ext>
              </c:extLst>
              <c:f>'3.1'!$C$34:$C$63</c:f>
              <c:numCache>
                <c:formatCode>#,##0.00;[Red]#,##0.00</c:formatCode>
                <c:ptCount val="30"/>
                <c:pt idx="0">
                  <c:v>1586.0700000000002</c:v>
                </c:pt>
                <c:pt idx="1">
                  <c:v>1610.06</c:v>
                </c:pt>
                <c:pt idx="2">
                  <c:v>1622.33</c:v>
                </c:pt>
                <c:pt idx="3">
                  <c:v>1625.76</c:v>
                </c:pt>
                <c:pt idx="4">
                  <c:v>1665.21</c:v>
                </c:pt>
                <c:pt idx="5">
                  <c:v>1709.47</c:v>
                </c:pt>
                <c:pt idx="6">
                  <c:v>1718.8600000000001</c:v>
                </c:pt>
                <c:pt idx="7">
                  <c:v>1762.4099999999999</c:v>
                </c:pt>
                <c:pt idx="8">
                  <c:v>1768.3899999999999</c:v>
                </c:pt>
                <c:pt idx="9">
                  <c:v>1820.59</c:v>
                </c:pt>
                <c:pt idx="10">
                  <c:v>1852.8600000000001</c:v>
                </c:pt>
                <c:pt idx="11">
                  <c:v>1954.3999999999999</c:v>
                </c:pt>
                <c:pt idx="12">
                  <c:v>1946.1000000000001</c:v>
                </c:pt>
                <c:pt idx="13">
                  <c:v>2009</c:v>
                </c:pt>
                <c:pt idx="14">
                  <c:v>1989.25</c:v>
                </c:pt>
                <c:pt idx="15">
                  <c:v>1975.91</c:v>
                </c:pt>
                <c:pt idx="16">
                  <c:v>1926.85</c:v>
                </c:pt>
                <c:pt idx="17">
                  <c:v>1864.4349999999999</c:v>
                </c:pt>
                <c:pt idx="18">
                  <c:v>1836.8100000000002</c:v>
                </c:pt>
                <c:pt idx="19">
                  <c:v>1882.31</c:v>
                </c:pt>
                <c:pt idx="20">
                  <c:v>1939.4800000000002</c:v>
                </c:pt>
                <c:pt idx="21">
                  <c:v>1923.8880000000001</c:v>
                </c:pt>
                <c:pt idx="22">
                  <c:v>1926.8020000000001</c:v>
                </c:pt>
                <c:pt idx="23">
                  <c:v>2020.29</c:v>
                </c:pt>
                <c:pt idx="24">
                  <c:v>2044.69</c:v>
                </c:pt>
                <c:pt idx="25">
                  <c:v>2027.45</c:v>
                </c:pt>
                <c:pt idx="26">
                  <c:v>2059.54</c:v>
                </c:pt>
                <c:pt idx="27">
                  <c:v>2131.14</c:v>
                </c:pt>
                <c:pt idx="28">
                  <c:v>1998.6130000000003</c:v>
                </c:pt>
                <c:pt idx="29">
                  <c:v>2089.5699999999997</c:v>
                </c:pt>
              </c:numCache>
            </c:numRef>
          </c:val>
          <c:smooth val="0"/>
          <c:extLst>
            <c:ext xmlns:c15="http://schemas.microsoft.com/office/drawing/2012/chart" uri="{02D57815-91ED-43cb-92C2-25804820EDAC}">
              <c15:categoryFilterExceptions>
                <c15:categoryFilterException>
                  <c15:sqref>'3.1'!$C$22</c15:sqref>
                  <c15:dLbl>
                    <c:idx val="-1"/>
                    <c:delete val="1"/>
                    <c:extLst>
                      <c:ext uri="{CE6537A1-D6FC-4f65-9D91-7224C49458BB}"/>
                      <c:ext xmlns:c16="http://schemas.microsoft.com/office/drawing/2014/chart" uri="{C3380CC4-5D6E-409C-BE32-E72D297353CC}">
                        <c16:uniqueId val="{00000018-1CCB-4A92-A02E-2C1A487A6FAB}"/>
                      </c:ext>
                    </c:extLst>
                  </c15:dLbl>
                </c15:categoryFilterException>
                <c15:categoryFilterException>
                  <c15:sqref>'3.1'!$C$23</c15:sqref>
                  <c15:dLbl>
                    <c:idx val="-1"/>
                    <c:delete val="1"/>
                    <c:extLst>
                      <c:ext uri="{CE6537A1-D6FC-4f65-9D91-7224C49458BB}"/>
                      <c:ext xmlns:c16="http://schemas.microsoft.com/office/drawing/2014/chart" uri="{C3380CC4-5D6E-409C-BE32-E72D297353CC}">
                        <c16:uniqueId val="{00000019-1CCB-4A92-A02E-2C1A487A6FAB}"/>
                      </c:ext>
                    </c:extLst>
                  </c15:dLbl>
                </c15:categoryFilterException>
                <c15:categoryFilterException>
                  <c15:sqref>'3.1'!$C$24</c15:sqref>
                  <c15:dLbl>
                    <c:idx val="-1"/>
                    <c:delete val="1"/>
                    <c:extLst>
                      <c:ext uri="{CE6537A1-D6FC-4f65-9D91-7224C49458BB}"/>
                      <c:ext xmlns:c16="http://schemas.microsoft.com/office/drawing/2014/chart" uri="{C3380CC4-5D6E-409C-BE32-E72D297353CC}">
                        <c16:uniqueId val="{0000001A-1CCB-4A92-A02E-2C1A487A6FAB}"/>
                      </c:ext>
                    </c:extLst>
                  </c15:dLbl>
                </c15:categoryFilterException>
                <c15:categoryFilterException>
                  <c15:sqref>'3.1'!$C$25</c15:sqref>
                  <c15:dLbl>
                    <c:idx val="-1"/>
                    <c:delete val="1"/>
                    <c:extLst>
                      <c:ext uri="{CE6537A1-D6FC-4f65-9D91-7224C49458BB}"/>
                      <c:ext xmlns:c16="http://schemas.microsoft.com/office/drawing/2014/chart" uri="{C3380CC4-5D6E-409C-BE32-E72D297353CC}">
                        <c16:uniqueId val="{0000001B-1CCB-4A92-A02E-2C1A487A6FAB}"/>
                      </c:ext>
                    </c:extLst>
                  </c15:dLbl>
                </c15:categoryFilterException>
                <c15:categoryFilterException>
                  <c15:sqref>'3.1'!$C$26</c15:sqref>
                  <c15:dLbl>
                    <c:idx val="-1"/>
                    <c:delete val="1"/>
                    <c:extLst>
                      <c:ext uri="{CE6537A1-D6FC-4f65-9D91-7224C49458BB}"/>
                      <c:ext xmlns:c16="http://schemas.microsoft.com/office/drawing/2014/chart" uri="{C3380CC4-5D6E-409C-BE32-E72D297353CC}">
                        <c16:uniqueId val="{0000001C-1CCB-4A92-A02E-2C1A487A6FAB}"/>
                      </c:ext>
                    </c:extLst>
                  </c15:dLbl>
                </c15:categoryFilterException>
                <c15:categoryFilterException>
                  <c15:sqref>'3.1'!$C$27</c15:sqref>
                  <c15:dLbl>
                    <c:idx val="-1"/>
                    <c:delete val="1"/>
                    <c:extLst>
                      <c:ext uri="{CE6537A1-D6FC-4f65-9D91-7224C49458BB}"/>
                      <c:ext xmlns:c16="http://schemas.microsoft.com/office/drawing/2014/chart" uri="{C3380CC4-5D6E-409C-BE32-E72D297353CC}">
                        <c16:uniqueId val="{0000001D-1CCB-4A92-A02E-2C1A487A6FAB}"/>
                      </c:ext>
                    </c:extLst>
                  </c15:dLbl>
                </c15:categoryFilterException>
                <c15:categoryFilterException>
                  <c15:sqref>'3.1'!$C$28</c15:sqref>
                  <c15:dLbl>
                    <c:idx val="-1"/>
                    <c:delete val="1"/>
                    <c:extLst>
                      <c:ext uri="{CE6537A1-D6FC-4f65-9D91-7224C49458BB}"/>
                      <c:ext xmlns:c16="http://schemas.microsoft.com/office/drawing/2014/chart" uri="{C3380CC4-5D6E-409C-BE32-E72D297353CC}">
                        <c16:uniqueId val="{0000001E-1CCB-4A92-A02E-2C1A487A6FAB}"/>
                      </c:ext>
                    </c:extLst>
                  </c15:dLbl>
                </c15:categoryFilterException>
                <c15:categoryFilterException>
                  <c15:sqref>'3.1'!$C$29</c15:sqref>
                  <c15:dLbl>
                    <c:idx val="-1"/>
                    <c:delete val="1"/>
                    <c:extLst>
                      <c:ext uri="{CE6537A1-D6FC-4f65-9D91-7224C49458BB}"/>
                      <c:ext xmlns:c16="http://schemas.microsoft.com/office/drawing/2014/chart" uri="{C3380CC4-5D6E-409C-BE32-E72D297353CC}">
                        <c16:uniqueId val="{0000001F-1CCB-4A92-A02E-2C1A487A6FAB}"/>
                      </c:ext>
                    </c:extLst>
                  </c15:dLbl>
                </c15:categoryFilterException>
                <c15:categoryFilterException>
                  <c15:sqref>'3.1'!$C$30</c15:sqref>
                  <c15:dLbl>
                    <c:idx val="-1"/>
                    <c:delete val="1"/>
                    <c:extLst>
                      <c:ext uri="{CE6537A1-D6FC-4f65-9D91-7224C49458BB}"/>
                      <c:ext xmlns:c16="http://schemas.microsoft.com/office/drawing/2014/chart" uri="{C3380CC4-5D6E-409C-BE32-E72D297353CC}">
                        <c16:uniqueId val="{00000020-1CCB-4A92-A02E-2C1A487A6FAB}"/>
                      </c:ext>
                    </c:extLst>
                  </c15:dLbl>
                </c15:categoryFilterException>
                <c15:categoryFilterException>
                  <c15:sqref>'3.1'!$C$31</c15:sqref>
                  <c15:dLbl>
                    <c:idx val="-1"/>
                    <c:delete val="1"/>
                    <c:extLst>
                      <c:ext uri="{CE6537A1-D6FC-4f65-9D91-7224C49458BB}"/>
                      <c:ext xmlns:c16="http://schemas.microsoft.com/office/drawing/2014/chart" uri="{C3380CC4-5D6E-409C-BE32-E72D297353CC}">
                        <c16:uniqueId val="{00000021-1CCB-4A92-A02E-2C1A487A6FAB}"/>
                      </c:ext>
                    </c:extLst>
                  </c15:dLbl>
                </c15:categoryFilterException>
                <c15:categoryFilterException>
                  <c15:sqref>'3.1'!$C$32</c15:sqref>
                  <c15:dLbl>
                    <c:idx val="-1"/>
                    <c:delete val="1"/>
                    <c:extLst>
                      <c:ext uri="{CE6537A1-D6FC-4f65-9D91-7224C49458BB}"/>
                      <c:ext xmlns:c16="http://schemas.microsoft.com/office/drawing/2014/chart" uri="{C3380CC4-5D6E-409C-BE32-E72D297353CC}">
                        <c16:uniqueId val="{00000022-1CCB-4A92-A02E-2C1A487A6FAB}"/>
                      </c:ext>
                    </c:extLst>
                  </c15:dLbl>
                </c15:categoryFilterException>
                <c15:categoryFilterException>
                  <c15:sqref>'3.1'!$C$33</c15:sqref>
                  <c15:dLbl>
                    <c:idx val="-1"/>
                    <c:delete val="1"/>
                    <c:extLst>
                      <c:ext uri="{CE6537A1-D6FC-4f65-9D91-7224C49458BB}"/>
                      <c:ext xmlns:c16="http://schemas.microsoft.com/office/drawing/2014/chart" uri="{C3380CC4-5D6E-409C-BE32-E72D297353CC}">
                        <c16:uniqueId val="{00000023-1CCB-4A92-A02E-2C1A487A6FAB}"/>
                      </c:ext>
                    </c:extLst>
                  </c15:dLbl>
                </c15:categoryFilterException>
              </c15:categoryFilterExceptions>
            </c:ext>
            <c:ext xmlns:c16="http://schemas.microsoft.com/office/drawing/2014/chart" uri="{C3380CC4-5D6E-409C-BE32-E72D297353CC}">
              <c16:uniqueId val="{00000005-59FB-482F-9B56-3BC5660C9ACB}"/>
            </c:ext>
          </c:extLst>
        </c:ser>
        <c:dLbls>
          <c:showLegendKey val="0"/>
          <c:showVal val="1"/>
          <c:showCatName val="0"/>
          <c:showSerName val="0"/>
          <c:showPercent val="0"/>
          <c:showBubbleSize val="0"/>
        </c:dLbls>
        <c:marker val="1"/>
        <c:smooth val="0"/>
        <c:axId val="486515560"/>
        <c:axId val="486515952"/>
      </c:lineChart>
      <c:catAx>
        <c:axId val="486515560"/>
        <c:scaling>
          <c:orientation val="minMax"/>
        </c:scaling>
        <c:delete val="0"/>
        <c:axPos val="b"/>
        <c:numFmt formatCode="General" sourceLinked="0"/>
        <c:majorTickMark val="none"/>
        <c:minorTickMark val="none"/>
        <c:tickLblPos val="nextTo"/>
        <c:txPr>
          <a:bodyPr/>
          <a:lstStyle/>
          <a:p>
            <a:pPr>
              <a:defRPr sz="1000">
                <a:latin typeface="Geomanist" panose="02000503000000020004" pitchFamily="50" charset="0"/>
              </a:defRPr>
            </a:pPr>
            <a:endParaRPr lang="en-US"/>
          </a:p>
        </c:txPr>
        <c:crossAx val="486515952"/>
        <c:crosses val="autoZero"/>
        <c:auto val="1"/>
        <c:lblAlgn val="ctr"/>
        <c:lblOffset val="100"/>
        <c:noMultiLvlLbl val="0"/>
      </c:catAx>
      <c:valAx>
        <c:axId val="486515952"/>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4.3988269794721412E-3"/>
              <c:y val="0.51272663644317185"/>
            </c:manualLayout>
          </c:layout>
          <c:overlay val="0"/>
        </c:title>
        <c:numFmt formatCode="#,##0.00;[Red]#,##0.00" sourceLinked="1"/>
        <c:majorTickMark val="none"/>
        <c:minorTickMark val="none"/>
        <c:tickLblPos val="nextTo"/>
        <c:txPr>
          <a:bodyPr/>
          <a:lstStyle/>
          <a:p>
            <a:pPr>
              <a:defRPr sz="1100" b="0">
                <a:latin typeface="Geomanist" panose="02000503000000020004" pitchFamily="50" charset="0"/>
              </a:defRPr>
            </a:pPr>
            <a:endParaRPr lang="en-US"/>
          </a:p>
        </c:txPr>
        <c:crossAx val="486515560"/>
        <c:crosses val="autoZero"/>
        <c:crossBetween val="between"/>
      </c:valAx>
      <c:spPr>
        <a:ln w="0">
          <a:solidFill>
            <a:schemeClr val="tx1">
              <a:lumMod val="65000"/>
              <a:lumOff val="35000"/>
            </a:schemeClr>
          </a:solidFill>
        </a:ln>
      </c:spPr>
    </c:plotArea>
    <c:legend>
      <c:legendPos val="r"/>
      <c:layout>
        <c:manualLayout>
          <c:xMode val="edge"/>
          <c:yMode val="edge"/>
          <c:x val="0.25183142498697714"/>
          <c:y val="0.93740600048240963"/>
          <c:w val="0.51816653638341592"/>
          <c:h val="5.3104809316119314E-2"/>
        </c:manualLayout>
      </c:layout>
      <c:overlay val="0"/>
      <c:txPr>
        <a:bodyPr/>
        <a:lstStyle/>
        <a:p>
          <a:pPr>
            <a:defRPr b="1">
              <a:latin typeface="Geomanist" panose="02000503000000020004" pitchFamily="50" charset="0"/>
            </a:defRPr>
          </a:pPr>
          <a:endParaRPr lang="en-US"/>
        </a:p>
      </c:txPr>
    </c:legend>
    <c:plotVisOnly val="1"/>
    <c:dispBlanksAs val="gap"/>
    <c:showDLblsOverMax val="0"/>
  </c:chart>
  <c:txPr>
    <a:bodyPr/>
    <a:lstStyle/>
    <a:p>
      <a:pPr>
        <a:defRPr sz="1100" b="1"/>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3.2: </a:t>
            </a:r>
            <a:r>
              <a:rPr lang="en-US" sz="2000">
                <a:solidFill>
                  <a:srgbClr val="D4C029"/>
                </a:solidFill>
                <a:latin typeface="Heuristica" panose="02020603050705020204" pitchFamily="18" charset="0"/>
              </a:rPr>
              <a:t>Insurance / Takaful: Gross Premiums</a:t>
            </a:r>
          </a:p>
        </c:rich>
      </c:tx>
      <c:layout>
        <c:manualLayout>
          <c:xMode val="edge"/>
          <c:yMode val="edge"/>
          <c:x val="0.17587099083289076"/>
          <c:y val="1.1992364590789787E-2"/>
        </c:manualLayout>
      </c:layout>
      <c:overlay val="0"/>
    </c:title>
    <c:autoTitleDeleted val="0"/>
    <c:plotArea>
      <c:layout>
        <c:manualLayout>
          <c:layoutTarget val="inner"/>
          <c:xMode val="edge"/>
          <c:yMode val="edge"/>
          <c:x val="8.8771792089038723E-2"/>
          <c:y val="6.5710331663087568E-2"/>
          <c:w val="0.8941135382270764"/>
          <c:h val="0.77551419708900038"/>
        </c:manualLayout>
      </c:layout>
      <c:barChart>
        <c:barDir val="col"/>
        <c:grouping val="stacked"/>
        <c:varyColors val="0"/>
        <c:ser>
          <c:idx val="0"/>
          <c:order val="0"/>
          <c:tx>
            <c:strRef>
              <c:f>'3.2'!$D$4:$F$4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11-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12-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13-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14-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15-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16-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1-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1-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C-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C-ED20-4DEE-A4C1-0DC1148ECAB2}"/>
                </c:ext>
              </c:extLst>
            </c:dLbl>
            <c:dLbl>
              <c:idx val="11"/>
              <c:delete val="1"/>
              <c:extLst>
                <c:ext xmlns:c15="http://schemas.microsoft.com/office/drawing/2012/chart" uri="{CE6537A1-D6FC-4f65-9D91-7224C49458BB}"/>
                <c:ext xmlns:c16="http://schemas.microsoft.com/office/drawing/2014/chart" uri="{C3380CC4-5D6E-409C-BE32-E72D297353CC}">
                  <c16:uniqueId val="{0000000E-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C-5D84-46C1-87F3-47B5F9DEF76E}"/>
                </c:ext>
              </c:extLst>
            </c:dLbl>
            <c:dLbl>
              <c:idx val="13"/>
              <c:delete val="1"/>
              <c:extLst>
                <c:ext xmlns:c15="http://schemas.microsoft.com/office/drawing/2012/chart" uri="{CE6537A1-D6FC-4f65-9D91-7224C49458BB}"/>
                <c:ext xmlns:c16="http://schemas.microsoft.com/office/drawing/2014/chart" uri="{C3380CC4-5D6E-409C-BE32-E72D297353CC}">
                  <c16:uniqueId val="{0000000E-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10-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9-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A-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A-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9-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5-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4-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7-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5-4049-4A0D-904A-5833E5C0A660}"/>
                </c:ext>
              </c:extLst>
            </c:dLbl>
            <c:dLbl>
              <c:idx val="23"/>
              <c:delete val="1"/>
              <c:extLst>
                <c:ext xmlns:c15="http://schemas.microsoft.com/office/drawing/2012/chart" uri="{CE6537A1-D6FC-4f65-9D91-7224C49458BB}"/>
                <c:ext xmlns:c16="http://schemas.microsoft.com/office/drawing/2014/chart" uri="{C3380CC4-5D6E-409C-BE32-E72D297353CC}">
                  <c16:uniqueId val="{00000024-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4-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5-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5-5D0F-4B56-B4E5-41D1B9878312}"/>
                </c:ext>
              </c:extLst>
            </c:dLbl>
            <c:dLbl>
              <c:idx val="27"/>
              <c:delete val="1"/>
              <c:extLst>
                <c:ext xmlns:c15="http://schemas.microsoft.com/office/drawing/2012/chart" uri="{CE6537A1-D6FC-4f65-9D91-7224C49458BB}"/>
                <c:ext xmlns:c16="http://schemas.microsoft.com/office/drawing/2014/chart" uri="{C3380CC4-5D6E-409C-BE32-E72D297353CC}">
                  <c16:uniqueId val="{00000027-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4-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7-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4-D0DA-4F9A-985A-D6921A8572B3}"/>
                </c:ext>
              </c:extLst>
            </c:dLbl>
            <c:dLbl>
              <c:idx val="31"/>
              <c:delete val="1"/>
              <c:extLst>
                <c:ext xmlns:c15="http://schemas.microsoft.com/office/drawing/2012/chart" uri="{CE6537A1-D6FC-4f65-9D91-7224C49458BB}"/>
                <c:ext xmlns:c16="http://schemas.microsoft.com/office/drawing/2014/chart" uri="{C3380CC4-5D6E-409C-BE32-E72D297353CC}">
                  <c16:uniqueId val="{00000025-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6-98EE-4131-A7D4-DEE3E4383CDC}"/>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'3.2'!$A$14:$B$63</c15:sqref>
                  </c15:fullRef>
                </c:ext>
              </c:extLst>
              <c:f>'3.2'!$A$30:$B$63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'3.2'!$D$14:$D$63</c15:sqref>
                  </c15:fullRef>
                </c:ext>
              </c:extLst>
              <c:f>'3.2'!$D$30:$D$63</c:f>
              <c:numCache>
                <c:formatCode>#,##0.00</c:formatCode>
                <c:ptCount val="34"/>
                <c:pt idx="0">
                  <c:v>38.019999999999996</c:v>
                </c:pt>
                <c:pt idx="1">
                  <c:v>38.61</c:v>
                </c:pt>
                <c:pt idx="2">
                  <c:v>30.93</c:v>
                </c:pt>
                <c:pt idx="3">
                  <c:v>35.61</c:v>
                </c:pt>
                <c:pt idx="4">
                  <c:v>44.6</c:v>
                </c:pt>
                <c:pt idx="5">
                  <c:v>34.900000000000006</c:v>
                </c:pt>
                <c:pt idx="6">
                  <c:v>38.340000000000003</c:v>
                </c:pt>
                <c:pt idx="7">
                  <c:v>35.099999999999994</c:v>
                </c:pt>
                <c:pt idx="8">
                  <c:v>38.44</c:v>
                </c:pt>
                <c:pt idx="9">
                  <c:v>37.450000000000003</c:v>
                </c:pt>
                <c:pt idx="10">
                  <c:v>49.95</c:v>
                </c:pt>
                <c:pt idx="11">
                  <c:v>39.22</c:v>
                </c:pt>
                <c:pt idx="12">
                  <c:v>42.46</c:v>
                </c:pt>
                <c:pt idx="13">
                  <c:v>35.44</c:v>
                </c:pt>
                <c:pt idx="14">
                  <c:v>44.21</c:v>
                </c:pt>
                <c:pt idx="15">
                  <c:v>40.69</c:v>
                </c:pt>
                <c:pt idx="16">
                  <c:v>40.290000000000006</c:v>
                </c:pt>
                <c:pt idx="17">
                  <c:v>38.78</c:v>
                </c:pt>
                <c:pt idx="18">
                  <c:v>39.18</c:v>
                </c:pt>
                <c:pt idx="19">
                  <c:v>46.93</c:v>
                </c:pt>
                <c:pt idx="20">
                  <c:v>44.81</c:v>
                </c:pt>
                <c:pt idx="21">
                  <c:v>45.46</c:v>
                </c:pt>
                <c:pt idx="22">
                  <c:v>40.790000000000006</c:v>
                </c:pt>
                <c:pt idx="23">
                  <c:v>45.230000000000004</c:v>
                </c:pt>
                <c:pt idx="24">
                  <c:v>46.260000000000005</c:v>
                </c:pt>
                <c:pt idx="25">
                  <c:v>47.641000000000005</c:v>
                </c:pt>
                <c:pt idx="26">
                  <c:v>41.51</c:v>
                </c:pt>
                <c:pt idx="27">
                  <c:v>45.77</c:v>
                </c:pt>
                <c:pt idx="28">
                  <c:v>50.92</c:v>
                </c:pt>
                <c:pt idx="29">
                  <c:v>40.65</c:v>
                </c:pt>
                <c:pt idx="30">
                  <c:v>39.89</c:v>
                </c:pt>
                <c:pt idx="31">
                  <c:v>49.38000000000001</c:v>
                </c:pt>
                <c:pt idx="32">
                  <c:v>41.094000000000001</c:v>
                </c:pt>
                <c:pt idx="33">
                  <c:v>60.844999999999999</c:v>
                </c:pt>
              </c:numCache>
            </c:numRef>
          </c:val>
          <c:extLst>
            <c:ext xmlns:c15="http://schemas.microsoft.com/office/drawing/2012/chart" uri="{02D57815-91ED-43cb-92C2-25804820EDAC}">
              <c15:categoryFilterExceptions>
                <c15:categoryFilterException>
                  <c15:sqref>'3.2'!$D$18</c15:sqref>
                  <c15:dLbl>
                    <c:idx val="-1"/>
                    <c:delete val="1"/>
                    <c:extLst>
                      <c:ext uri="{CE6537A1-D6FC-4f65-9D91-7224C49458BB}"/>
                      <c:ext xmlns:c16="http://schemas.microsoft.com/office/drawing/2014/chart" uri="{C3380CC4-5D6E-409C-BE32-E72D297353CC}">
                        <c16:uniqueId val="{00000000-09D3-4CD3-B2A0-1E1F3BAFED62}"/>
                      </c:ext>
                    </c:extLst>
                  </c15:dLbl>
                </c15:categoryFilterException>
                <c15:categoryFilterException>
                  <c15:sqref>'3.2'!$D$19</c15:sqref>
                  <c15:dLbl>
                    <c:idx val="-1"/>
                    <c:delete val="1"/>
                    <c:extLst>
                      <c:ext uri="{CE6537A1-D6FC-4f65-9D91-7224C49458BB}"/>
                      <c:ext xmlns:c16="http://schemas.microsoft.com/office/drawing/2014/chart" uri="{C3380CC4-5D6E-409C-BE32-E72D297353CC}">
                        <c16:uniqueId val="{00000001-09D3-4CD3-B2A0-1E1F3BAFED62}"/>
                      </c:ext>
                    </c:extLst>
                  </c15:dLbl>
                </c15:categoryFilterException>
                <c15:categoryFilterException>
                  <c15:sqref>'3.2'!$D$20</c15:sqref>
                  <c15:dLbl>
                    <c:idx val="-1"/>
                    <c:delete val="1"/>
                    <c:extLst>
                      <c:ext uri="{CE6537A1-D6FC-4f65-9D91-7224C49458BB}"/>
                      <c:ext xmlns:c16="http://schemas.microsoft.com/office/drawing/2014/chart" uri="{C3380CC4-5D6E-409C-BE32-E72D297353CC}">
                        <c16:uniqueId val="{00000002-09D3-4CD3-B2A0-1E1F3BAFED62}"/>
                      </c:ext>
                    </c:extLst>
                  </c15:dLbl>
                </c15:categoryFilterException>
                <c15:categoryFilterException>
                  <c15:sqref>'3.2'!$D$21</c15:sqref>
                  <c15:dLbl>
                    <c:idx val="-1"/>
                    <c:delete val="1"/>
                    <c:extLst>
                      <c:ext uri="{CE6537A1-D6FC-4f65-9D91-7224C49458BB}"/>
                      <c:ext xmlns:c16="http://schemas.microsoft.com/office/drawing/2014/chart" uri="{C3380CC4-5D6E-409C-BE32-E72D297353CC}">
                        <c16:uniqueId val="{00000003-09D3-4CD3-B2A0-1E1F3BAFED62}"/>
                      </c:ext>
                    </c:extLst>
                  </c15:dLbl>
                </c15:categoryFilterException>
                <c15:categoryFilterException>
                  <c15:sqref>'3.2'!$D$22</c15:sqref>
                  <c15:dLbl>
                    <c:idx val="-1"/>
                    <c:delete val="1"/>
                    <c:extLst>
                      <c:ext uri="{CE6537A1-D6FC-4f65-9D91-7224C49458BB}"/>
                      <c:ext xmlns:c16="http://schemas.microsoft.com/office/drawing/2014/chart" uri="{C3380CC4-5D6E-409C-BE32-E72D297353CC}">
                        <c16:uniqueId val="{00000004-09D3-4CD3-B2A0-1E1F3BAFED62}"/>
                      </c:ext>
                    </c:extLst>
                  </c15:dLbl>
                </c15:categoryFilterException>
                <c15:categoryFilterException>
                  <c15:sqref>'3.2'!$D$23</c15:sqref>
                  <c15:dLbl>
                    <c:idx val="-1"/>
                    <c:delete val="1"/>
                    <c:extLst>
                      <c:ext uri="{CE6537A1-D6FC-4f65-9D91-7224C49458BB}"/>
                      <c:ext xmlns:c16="http://schemas.microsoft.com/office/drawing/2014/chart" uri="{C3380CC4-5D6E-409C-BE32-E72D297353CC}">
                        <c16:uniqueId val="{00000005-09D3-4CD3-B2A0-1E1F3BAFED62}"/>
                      </c:ext>
                    </c:extLst>
                  </c15:dLbl>
                </c15:categoryFilterException>
                <c15:categoryFilterException>
                  <c15:sqref>'3.2'!$D$24</c15:sqref>
                  <c15:dLbl>
                    <c:idx val="-1"/>
                    <c:delete val="1"/>
                    <c:extLst>
                      <c:ext uri="{CE6537A1-D6FC-4f65-9D91-7224C49458BB}"/>
                      <c:ext xmlns:c16="http://schemas.microsoft.com/office/drawing/2014/chart" uri="{C3380CC4-5D6E-409C-BE32-E72D297353CC}">
                        <c16:uniqueId val="{00000006-09D3-4CD3-B2A0-1E1F3BAFED62}"/>
                      </c:ext>
                    </c:extLst>
                  </c15:dLbl>
                </c15:categoryFilterException>
                <c15:categoryFilterException>
                  <c15:sqref>'3.2'!$D$25</c15:sqref>
                  <c15:dLbl>
                    <c:idx val="-1"/>
                    <c:delete val="1"/>
                    <c:extLst>
                      <c:ext uri="{CE6537A1-D6FC-4f65-9D91-7224C49458BB}"/>
                      <c:ext xmlns:c16="http://schemas.microsoft.com/office/drawing/2014/chart" uri="{C3380CC4-5D6E-409C-BE32-E72D297353CC}">
                        <c16:uniqueId val="{00000007-09D3-4CD3-B2A0-1E1F3BAFED62}"/>
                      </c:ext>
                    </c:extLst>
                  </c15:dLbl>
                </c15:categoryFilterException>
                <c15:categoryFilterException>
                  <c15:sqref>'3.2'!$D$26</c15:sqref>
                  <c15:dLbl>
                    <c:idx val="-1"/>
                    <c:delete val="1"/>
                    <c:extLst>
                      <c:ext uri="{CE6537A1-D6FC-4f65-9D91-7224C49458BB}"/>
                      <c:ext xmlns:c16="http://schemas.microsoft.com/office/drawing/2014/chart" uri="{C3380CC4-5D6E-409C-BE32-E72D297353CC}">
                        <c16:uniqueId val="{00000008-09D3-4CD3-B2A0-1E1F3BAFED62}"/>
                      </c:ext>
                    </c:extLst>
                  </c15:dLbl>
                </c15:categoryFilterException>
                <c15:categoryFilterException>
                  <c15:sqref>'3.2'!$D$27</c15:sqref>
                  <c15:dLbl>
                    <c:idx val="-1"/>
                    <c:delete val="1"/>
                    <c:extLst>
                      <c:ext uri="{CE6537A1-D6FC-4f65-9D91-7224C49458BB}"/>
                      <c:ext xmlns:c16="http://schemas.microsoft.com/office/drawing/2014/chart" uri="{C3380CC4-5D6E-409C-BE32-E72D297353CC}">
                        <c16:uniqueId val="{00000009-09D3-4CD3-B2A0-1E1F3BAFED62}"/>
                      </c:ext>
                    </c:extLst>
                  </c15:dLbl>
                </c15:categoryFilterException>
                <c15:categoryFilterException>
                  <c15:sqref>'3.2'!$D$28</c15:sqref>
                  <c15:dLbl>
                    <c:idx val="-1"/>
                    <c:delete val="1"/>
                    <c:extLst>
                      <c:ext uri="{CE6537A1-D6FC-4f65-9D91-7224C49458BB}"/>
                      <c:ext xmlns:c16="http://schemas.microsoft.com/office/drawing/2014/chart" uri="{C3380CC4-5D6E-409C-BE32-E72D297353CC}">
                        <c16:uniqueId val="{0000000A-09D3-4CD3-B2A0-1E1F3BAFED62}"/>
                      </c:ext>
                    </c:extLst>
                  </c15:dLbl>
                </c15:categoryFilterException>
                <c15:categoryFilterException>
                  <c15:sqref>'3.2'!$D$29</c15:sqref>
                  <c15:dLbl>
                    <c:idx val="-1"/>
                    <c:delete val="1"/>
                    <c:extLst>
                      <c:ext uri="{CE6537A1-D6FC-4f65-9D91-7224C49458BB}"/>
                      <c:ext xmlns:c16="http://schemas.microsoft.com/office/drawing/2014/chart" uri="{C3380CC4-5D6E-409C-BE32-E72D297353CC}">
                        <c16:uniqueId val="{0000000B-09D3-4CD3-B2A0-1E1F3BAFED62}"/>
                      </c:ext>
                    </c:extLst>
                  </c15:dLbl>
                </c15:categoryFilterException>
              </c15:categoryFilterExceptions>
            </c:ext>
            <c:ext xmlns:c16="http://schemas.microsoft.com/office/drawing/2014/chart" uri="{C3380CC4-5D6E-409C-BE32-E72D297353CC}">
              <c16:uniqueId val="{00000019-F095-4740-B401-3D1D9CBCDC20}"/>
            </c:ext>
          </c:extLst>
        </c:ser>
        <c:ser>
          <c:idx val="1"/>
          <c:order val="1"/>
          <c:tx>
            <c:strRef>
              <c:f>'3.2'!$G$4:$I$4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2B-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2C-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2D-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2E-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2F-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30-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0-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0-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D-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E-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F-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0F-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8-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9-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9-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8-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4-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5-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5-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6-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5-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5-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4-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6-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5-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5-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6-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4-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5-98EE-4131-A7D4-DEE3E4383CDC}"/>
                </c:ext>
              </c:extLst>
            </c:dLbl>
            <c:dLbl>
              <c:idx val="33"/>
              <c:layout>
                <c:manualLayout>
                  <c:x val="-1.0263929618768436E-2"/>
                  <c:y val="3.0303030303030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98EE-4131-A7D4-DEE3E4383CDC}"/>
                </c:ext>
              </c:extLst>
            </c:dLbl>
            <c:spPr>
              <a:noFill/>
              <a:ln>
                <a:noFill/>
              </a:ln>
              <a:effectLst/>
            </c:spPr>
            <c:txPr>
              <a:bodyPr wrap="square" lIns="38100" tIns="19050" rIns="38100" bIns="19050" anchor="ctr">
                <a:spAutoFit/>
              </a:bodyPr>
              <a:lstStyle/>
              <a:p>
                <a:pPr>
                  <a:defRPr sz="1100">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'3.2'!$A$14:$B$63</c15:sqref>
                  </c15:fullRef>
                </c:ext>
              </c:extLst>
              <c:f>'3.2'!$A$30:$B$63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'3.2'!$G$14:$G$63</c15:sqref>
                  </c15:fullRef>
                </c:ext>
              </c:extLst>
              <c:f>'3.2'!$G$30:$G$63</c:f>
              <c:numCache>
                <c:formatCode>#,##0.00</c:formatCode>
                <c:ptCount val="34"/>
                <c:pt idx="0">
                  <c:v>38.879999999999995</c:v>
                </c:pt>
                <c:pt idx="1">
                  <c:v>47.349999999999994</c:v>
                </c:pt>
                <c:pt idx="2">
                  <c:v>37.49</c:v>
                </c:pt>
                <c:pt idx="3">
                  <c:v>29.17</c:v>
                </c:pt>
                <c:pt idx="4">
                  <c:v>32.65</c:v>
                </c:pt>
                <c:pt idx="5">
                  <c:v>36.83</c:v>
                </c:pt>
                <c:pt idx="6">
                  <c:v>37.29</c:v>
                </c:pt>
                <c:pt idx="7">
                  <c:v>35.020000000000003</c:v>
                </c:pt>
                <c:pt idx="8">
                  <c:v>29.97</c:v>
                </c:pt>
                <c:pt idx="9">
                  <c:v>28.330000000000002</c:v>
                </c:pt>
                <c:pt idx="10">
                  <c:v>37.83</c:v>
                </c:pt>
                <c:pt idx="11">
                  <c:v>30</c:v>
                </c:pt>
                <c:pt idx="12">
                  <c:v>36.840000000000003</c:v>
                </c:pt>
                <c:pt idx="13">
                  <c:v>30.07</c:v>
                </c:pt>
                <c:pt idx="14">
                  <c:v>30.73</c:v>
                </c:pt>
                <c:pt idx="15">
                  <c:v>39.770000000000003</c:v>
                </c:pt>
                <c:pt idx="16">
                  <c:v>39.18</c:v>
                </c:pt>
                <c:pt idx="17">
                  <c:v>34.89</c:v>
                </c:pt>
                <c:pt idx="18">
                  <c:v>34.33</c:v>
                </c:pt>
                <c:pt idx="19">
                  <c:v>36.050000000000004</c:v>
                </c:pt>
                <c:pt idx="20">
                  <c:v>36.370000000000005</c:v>
                </c:pt>
                <c:pt idx="21">
                  <c:v>34.58</c:v>
                </c:pt>
                <c:pt idx="22">
                  <c:v>38.92</c:v>
                </c:pt>
                <c:pt idx="23">
                  <c:v>43.5</c:v>
                </c:pt>
                <c:pt idx="24">
                  <c:v>38.31</c:v>
                </c:pt>
                <c:pt idx="25">
                  <c:v>36.225999999999999</c:v>
                </c:pt>
                <c:pt idx="26">
                  <c:v>36.33</c:v>
                </c:pt>
                <c:pt idx="27">
                  <c:v>47.42</c:v>
                </c:pt>
                <c:pt idx="28">
                  <c:v>40.96</c:v>
                </c:pt>
                <c:pt idx="29">
                  <c:v>39.28</c:v>
                </c:pt>
                <c:pt idx="30">
                  <c:v>39.139999999999986</c:v>
                </c:pt>
                <c:pt idx="31">
                  <c:v>46.190000000000012</c:v>
                </c:pt>
                <c:pt idx="32">
                  <c:v>39.269000000000005</c:v>
                </c:pt>
                <c:pt idx="33">
                  <c:v>30.52</c:v>
                </c:pt>
              </c:numCache>
            </c:numRef>
          </c:val>
          <c:extLst>
            <c:ext xmlns:c15="http://schemas.microsoft.com/office/drawing/2012/chart" uri="{02D57815-91ED-43cb-92C2-25804820EDAC}">
              <c15:categoryFilterExceptions>
                <c15:categoryFilterException>
                  <c15:sqref>'3.2'!$G$18</c15:sqref>
                  <c15:dLbl>
                    <c:idx val="-1"/>
                    <c:delete val="1"/>
                    <c:extLst>
                      <c:ext uri="{CE6537A1-D6FC-4f65-9D91-7224C49458BB}"/>
                      <c:ext xmlns:c16="http://schemas.microsoft.com/office/drawing/2014/chart" uri="{C3380CC4-5D6E-409C-BE32-E72D297353CC}">
                        <c16:uniqueId val="{0000000C-09D3-4CD3-B2A0-1E1F3BAFED62}"/>
                      </c:ext>
                    </c:extLst>
                  </c15:dLbl>
                </c15:categoryFilterException>
                <c15:categoryFilterException>
                  <c15:sqref>'3.2'!$G$19</c15:sqref>
                  <c15:dLbl>
                    <c:idx val="-1"/>
                    <c:delete val="1"/>
                    <c:extLst>
                      <c:ext uri="{CE6537A1-D6FC-4f65-9D91-7224C49458BB}"/>
                      <c:ext xmlns:c16="http://schemas.microsoft.com/office/drawing/2014/chart" uri="{C3380CC4-5D6E-409C-BE32-E72D297353CC}">
                        <c16:uniqueId val="{0000000D-09D3-4CD3-B2A0-1E1F3BAFED62}"/>
                      </c:ext>
                    </c:extLst>
                  </c15:dLbl>
                </c15:categoryFilterException>
                <c15:categoryFilterException>
                  <c15:sqref>'3.2'!$G$20</c15:sqref>
                  <c15:dLbl>
                    <c:idx val="-1"/>
                    <c:delete val="1"/>
                    <c:extLst>
                      <c:ext uri="{CE6537A1-D6FC-4f65-9D91-7224C49458BB}"/>
                      <c:ext xmlns:c16="http://schemas.microsoft.com/office/drawing/2014/chart" uri="{C3380CC4-5D6E-409C-BE32-E72D297353CC}">
                        <c16:uniqueId val="{0000000E-09D3-4CD3-B2A0-1E1F3BAFED62}"/>
                      </c:ext>
                    </c:extLst>
                  </c15:dLbl>
                </c15:categoryFilterException>
                <c15:categoryFilterException>
                  <c15:sqref>'3.2'!$G$21</c15:sqref>
                  <c15:dLbl>
                    <c:idx val="-1"/>
                    <c:delete val="1"/>
                    <c:extLst>
                      <c:ext uri="{CE6537A1-D6FC-4f65-9D91-7224C49458BB}"/>
                      <c:ext xmlns:c16="http://schemas.microsoft.com/office/drawing/2014/chart" uri="{C3380CC4-5D6E-409C-BE32-E72D297353CC}">
                        <c16:uniqueId val="{0000000F-09D3-4CD3-B2A0-1E1F3BAFED62}"/>
                      </c:ext>
                    </c:extLst>
                  </c15:dLbl>
                </c15:categoryFilterException>
                <c15:categoryFilterException>
                  <c15:sqref>'3.2'!$G$22</c15:sqref>
                  <c15:dLbl>
                    <c:idx val="-1"/>
                    <c:delete val="1"/>
                    <c:extLst>
                      <c:ext uri="{CE6537A1-D6FC-4f65-9D91-7224C49458BB}"/>
                      <c:ext xmlns:c16="http://schemas.microsoft.com/office/drawing/2014/chart" uri="{C3380CC4-5D6E-409C-BE32-E72D297353CC}">
                        <c16:uniqueId val="{00000010-09D3-4CD3-B2A0-1E1F3BAFED62}"/>
                      </c:ext>
                    </c:extLst>
                  </c15:dLbl>
                </c15:categoryFilterException>
                <c15:categoryFilterException>
                  <c15:sqref>'3.2'!$G$23</c15:sqref>
                  <c15:dLbl>
                    <c:idx val="-1"/>
                    <c:delete val="1"/>
                    <c:extLst>
                      <c:ext uri="{CE6537A1-D6FC-4f65-9D91-7224C49458BB}"/>
                      <c:ext xmlns:c16="http://schemas.microsoft.com/office/drawing/2014/chart" uri="{C3380CC4-5D6E-409C-BE32-E72D297353CC}">
                        <c16:uniqueId val="{00000011-09D3-4CD3-B2A0-1E1F3BAFED62}"/>
                      </c:ext>
                    </c:extLst>
                  </c15:dLbl>
                </c15:categoryFilterException>
                <c15:categoryFilterException>
                  <c15:sqref>'3.2'!$G$24</c15:sqref>
                  <c15:dLbl>
                    <c:idx val="-1"/>
                    <c:delete val="1"/>
                    <c:extLst>
                      <c:ext uri="{CE6537A1-D6FC-4f65-9D91-7224C49458BB}"/>
                      <c:ext xmlns:c16="http://schemas.microsoft.com/office/drawing/2014/chart" uri="{C3380CC4-5D6E-409C-BE32-E72D297353CC}">
                        <c16:uniqueId val="{00000012-09D3-4CD3-B2A0-1E1F3BAFED62}"/>
                      </c:ext>
                    </c:extLst>
                  </c15:dLbl>
                </c15:categoryFilterException>
                <c15:categoryFilterException>
                  <c15:sqref>'3.2'!$G$25</c15:sqref>
                  <c15:dLbl>
                    <c:idx val="-1"/>
                    <c:delete val="1"/>
                    <c:extLst>
                      <c:ext uri="{CE6537A1-D6FC-4f65-9D91-7224C49458BB}"/>
                      <c:ext xmlns:c16="http://schemas.microsoft.com/office/drawing/2014/chart" uri="{C3380CC4-5D6E-409C-BE32-E72D297353CC}">
                        <c16:uniqueId val="{00000013-09D3-4CD3-B2A0-1E1F3BAFED62}"/>
                      </c:ext>
                    </c:extLst>
                  </c15:dLbl>
                </c15:categoryFilterException>
                <c15:categoryFilterException>
                  <c15:sqref>'3.2'!$G$26</c15:sqref>
                  <c15:dLbl>
                    <c:idx val="-1"/>
                    <c:delete val="1"/>
                    <c:extLst>
                      <c:ext uri="{CE6537A1-D6FC-4f65-9D91-7224C49458BB}"/>
                      <c:ext xmlns:c16="http://schemas.microsoft.com/office/drawing/2014/chart" uri="{C3380CC4-5D6E-409C-BE32-E72D297353CC}">
                        <c16:uniqueId val="{00000014-09D3-4CD3-B2A0-1E1F3BAFED62}"/>
                      </c:ext>
                    </c:extLst>
                  </c15:dLbl>
                </c15:categoryFilterException>
                <c15:categoryFilterException>
                  <c15:sqref>'3.2'!$G$27</c15:sqref>
                  <c15:dLbl>
                    <c:idx val="-1"/>
                    <c:delete val="1"/>
                    <c:extLst>
                      <c:ext uri="{CE6537A1-D6FC-4f65-9D91-7224C49458BB}"/>
                      <c:ext xmlns:c16="http://schemas.microsoft.com/office/drawing/2014/chart" uri="{C3380CC4-5D6E-409C-BE32-E72D297353CC}">
                        <c16:uniqueId val="{00000015-09D3-4CD3-B2A0-1E1F3BAFED62}"/>
                      </c:ext>
                    </c:extLst>
                  </c15:dLbl>
                </c15:categoryFilterException>
                <c15:categoryFilterException>
                  <c15:sqref>'3.2'!$G$28</c15:sqref>
                  <c15:dLbl>
                    <c:idx val="-1"/>
                    <c:delete val="1"/>
                    <c:extLst>
                      <c:ext uri="{CE6537A1-D6FC-4f65-9D91-7224C49458BB}"/>
                      <c:ext xmlns:c16="http://schemas.microsoft.com/office/drawing/2014/chart" uri="{C3380CC4-5D6E-409C-BE32-E72D297353CC}">
                        <c16:uniqueId val="{00000016-09D3-4CD3-B2A0-1E1F3BAFED62}"/>
                      </c:ext>
                    </c:extLst>
                  </c15:dLbl>
                </c15:categoryFilterException>
                <c15:categoryFilterException>
                  <c15:sqref>'3.2'!$G$29</c15:sqref>
                  <c15:dLbl>
                    <c:idx val="-1"/>
                    <c:delete val="1"/>
                    <c:extLst>
                      <c:ext uri="{CE6537A1-D6FC-4f65-9D91-7224C49458BB}"/>
                      <c:ext xmlns:c16="http://schemas.microsoft.com/office/drawing/2014/chart" uri="{C3380CC4-5D6E-409C-BE32-E72D297353CC}">
                        <c16:uniqueId val="{00000017-09D3-4CD3-B2A0-1E1F3BAFED62}"/>
                      </c:ext>
                    </c:extLst>
                  </c15:dLbl>
                </c15:categoryFilterException>
              </c15:categoryFilterExceptions>
            </c:ext>
            <c:ext xmlns:c16="http://schemas.microsoft.com/office/drawing/2014/chart" uri="{C3380CC4-5D6E-409C-BE32-E72D297353CC}">
              <c16:uniqueId val="{00000032-F095-4740-B401-3D1D9CBCDC20}"/>
            </c:ext>
          </c:extLst>
        </c:ser>
        <c:dLbls>
          <c:showLegendKey val="0"/>
          <c:showVal val="0"/>
          <c:showCatName val="0"/>
          <c:showSerName val="0"/>
          <c:showPercent val="0"/>
          <c:showBubbleSize val="0"/>
        </c:dLbls>
        <c:gapWidth val="55"/>
        <c:overlap val="100"/>
        <c:axId val="486516736"/>
        <c:axId val="486517128"/>
      </c:barChart>
      <c:lineChart>
        <c:grouping val="standard"/>
        <c:varyColors val="0"/>
        <c:ser>
          <c:idx val="2"/>
          <c:order val="2"/>
          <c:tx>
            <c:strRef>
              <c:f>'3.2'!$C$4:$C$5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3-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44-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45-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46-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47-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48-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49-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4A-F095-4740-B401-3D1D9CBCDC20}"/>
                </c:ext>
              </c:extLst>
            </c:dLbl>
            <c:dLbl>
              <c:idx val="8"/>
              <c:delete val="1"/>
              <c:extLst>
                <c:ext xmlns:c15="http://schemas.microsoft.com/office/drawing/2012/chart" uri="{CE6537A1-D6FC-4f65-9D91-7224C49458BB}"/>
                <c:ext xmlns:c16="http://schemas.microsoft.com/office/drawing/2014/chart" uri="{C3380CC4-5D6E-409C-BE32-E72D297353CC}">
                  <c16:uniqueId val="{00000002-DE3B-410E-B4EC-1816E4889167}"/>
                </c:ext>
              </c:extLst>
            </c:dLbl>
            <c:dLbl>
              <c:idx val="9"/>
              <c:delete val="1"/>
              <c:extLst>
                <c:ext xmlns:c15="http://schemas.microsoft.com/office/drawing/2012/chart" uri="{CE6537A1-D6FC-4f65-9D91-7224C49458BB}"/>
                <c:ext xmlns:c16="http://schemas.microsoft.com/office/drawing/2014/chart" uri="{C3380CC4-5D6E-409C-BE32-E72D297353CC}">
                  <c16:uniqueId val="{00000002-3F2F-4E88-91B6-53758C5230E7}"/>
                </c:ext>
              </c:extLst>
            </c:dLbl>
            <c:dLbl>
              <c:idx val="10"/>
              <c:delete val="1"/>
              <c:extLst>
                <c:ext xmlns:c15="http://schemas.microsoft.com/office/drawing/2012/chart" uri="{CE6537A1-D6FC-4f65-9D91-7224C49458BB}"/>
                <c:ext xmlns:c16="http://schemas.microsoft.com/office/drawing/2014/chart" uri="{C3380CC4-5D6E-409C-BE32-E72D297353CC}">
                  <c16:uniqueId val="{0000000F-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ED20-4DEE-A4C1-0DC1148ECAB2}"/>
                </c:ext>
              </c:extLst>
            </c:dLbl>
            <c:dLbl>
              <c:idx val="12"/>
              <c:delete val="1"/>
              <c:extLst>
                <c:ext xmlns:c15="http://schemas.microsoft.com/office/drawing/2012/chart" uri="{CE6537A1-D6FC-4f65-9D91-7224C49458BB}"/>
                <c:ext xmlns:c16="http://schemas.microsoft.com/office/drawing/2014/chart" uri="{C3380CC4-5D6E-409C-BE32-E72D297353CC}">
                  <c16:uniqueId val="{0000000C-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5D84-46C1-87F3-47B5F9DEF76E}"/>
                </c:ext>
              </c:extLst>
            </c:dLbl>
            <c:dLbl>
              <c:idx val="14"/>
              <c:delete val="1"/>
              <c:extLst>
                <c:ext xmlns:c15="http://schemas.microsoft.com/office/drawing/2012/chart" uri="{CE6537A1-D6FC-4f65-9D91-7224C49458BB}"/>
                <c:ext xmlns:c16="http://schemas.microsoft.com/office/drawing/2014/chart" uri="{C3380CC4-5D6E-409C-BE32-E72D297353CC}">
                  <c16:uniqueId val="{0000000C-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0C-5EF7-4A9D-9238-E2F834A18454}"/>
                </c:ext>
              </c:extLst>
            </c:dLbl>
            <c:dLbl>
              <c:idx val="16"/>
              <c:delete val="1"/>
              <c:extLst>
                <c:ext xmlns:c15="http://schemas.microsoft.com/office/drawing/2012/chart" uri="{CE6537A1-D6FC-4f65-9D91-7224C49458BB}"/>
                <c:ext xmlns:c16="http://schemas.microsoft.com/office/drawing/2014/chart" uri="{C3380CC4-5D6E-409C-BE32-E72D297353CC}">
                  <c16:uniqueId val="{00000018-AFD5-4A31-B73B-113D395CBCB4}"/>
                </c:ext>
              </c:extLst>
            </c:dLbl>
            <c:dLbl>
              <c:idx val="17"/>
              <c:delete val="1"/>
              <c:extLst>
                <c:ext xmlns:c15="http://schemas.microsoft.com/office/drawing/2012/chart" uri="{CE6537A1-D6FC-4f65-9D91-7224C49458BB}"/>
                <c:ext xmlns:c16="http://schemas.microsoft.com/office/drawing/2014/chart" uri="{C3380CC4-5D6E-409C-BE32-E72D297353CC}">
                  <c16:uniqueId val="{00000018-67CE-425D-B458-EAB6AC708318}"/>
                </c:ext>
              </c:extLst>
            </c:dLbl>
            <c:dLbl>
              <c:idx val="18"/>
              <c:delete val="1"/>
              <c:extLst>
                <c:ext xmlns:c15="http://schemas.microsoft.com/office/drawing/2012/chart" uri="{CE6537A1-D6FC-4f65-9D91-7224C49458BB}"/>
                <c:ext xmlns:c16="http://schemas.microsoft.com/office/drawing/2014/chart" uri="{C3380CC4-5D6E-409C-BE32-E72D297353CC}">
                  <c16:uniqueId val="{00000018-8180-482A-8303-1364262FD537}"/>
                </c:ext>
              </c:extLst>
            </c:dLbl>
            <c:dLbl>
              <c:idx val="19"/>
              <c:delete val="1"/>
              <c:extLst>
                <c:ext xmlns:c15="http://schemas.microsoft.com/office/drawing/2012/chart" uri="{CE6537A1-D6FC-4f65-9D91-7224C49458BB}"/>
                <c:ext xmlns:c16="http://schemas.microsoft.com/office/drawing/2014/chart" uri="{C3380CC4-5D6E-409C-BE32-E72D297353CC}">
                  <c16:uniqueId val="{0000001A-BB1A-41C7-B39E-E3A6AC5A0F75}"/>
                </c:ext>
              </c:extLst>
            </c:dLbl>
            <c:dLbl>
              <c:idx val="20"/>
              <c:delete val="1"/>
              <c:extLst>
                <c:ext xmlns:c15="http://schemas.microsoft.com/office/drawing/2012/chart" uri="{CE6537A1-D6FC-4f65-9D91-7224C49458BB}"/>
                <c:ext xmlns:c16="http://schemas.microsoft.com/office/drawing/2014/chart" uri="{C3380CC4-5D6E-409C-BE32-E72D297353CC}">
                  <c16:uniqueId val="{00000026-4AE2-469D-B5E4-D0A16E259C9A}"/>
                </c:ext>
              </c:extLst>
            </c:dLbl>
            <c:dLbl>
              <c:idx val="21"/>
              <c:delete val="1"/>
              <c:extLst>
                <c:ext xmlns:c15="http://schemas.microsoft.com/office/drawing/2012/chart" uri="{CE6537A1-D6FC-4f65-9D91-7224C49458BB}"/>
                <c:ext xmlns:c16="http://schemas.microsoft.com/office/drawing/2014/chart" uri="{C3380CC4-5D6E-409C-BE32-E72D297353CC}">
                  <c16:uniqueId val="{00000026-4C51-4F49-9D78-D1C2F3C81353}"/>
                </c:ext>
              </c:extLst>
            </c:dLbl>
            <c:dLbl>
              <c:idx val="22"/>
              <c:delete val="1"/>
              <c:extLst>
                <c:ext xmlns:c15="http://schemas.microsoft.com/office/drawing/2012/chart" uri="{CE6537A1-D6FC-4f65-9D91-7224C49458BB}"/>
                <c:ext xmlns:c16="http://schemas.microsoft.com/office/drawing/2014/chart" uri="{C3380CC4-5D6E-409C-BE32-E72D297353CC}">
                  <c16:uniqueId val="{00000024-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4-4049-4A0D-904A-5833E5C0A660}"/>
                </c:ext>
              </c:extLst>
            </c:dLbl>
            <c:dLbl>
              <c:idx val="24"/>
              <c:delete val="1"/>
              <c:extLst>
                <c:ext xmlns:c15="http://schemas.microsoft.com/office/drawing/2012/chart" uri="{CE6537A1-D6FC-4f65-9D91-7224C49458BB}"/>
                <c:ext xmlns:c16="http://schemas.microsoft.com/office/drawing/2014/chart" uri="{C3380CC4-5D6E-409C-BE32-E72D297353CC}">
                  <c16:uniqueId val="{00000026-89F2-4136-8642-01028EF2BF8C}"/>
                </c:ext>
              </c:extLst>
            </c:dLbl>
            <c:dLbl>
              <c:idx val="25"/>
              <c:delete val="1"/>
              <c:extLst>
                <c:ext xmlns:c15="http://schemas.microsoft.com/office/drawing/2012/chart" uri="{CE6537A1-D6FC-4f65-9D91-7224C49458BB}"/>
                <c:ext xmlns:c16="http://schemas.microsoft.com/office/drawing/2014/chart" uri="{C3380CC4-5D6E-409C-BE32-E72D297353CC}">
                  <c16:uniqueId val="{00000026-1026-4AE0-ABB8-C15E0882C662}"/>
                </c:ext>
              </c:extLst>
            </c:dLbl>
            <c:dLbl>
              <c:idx val="26"/>
              <c:delete val="1"/>
              <c:extLst>
                <c:ext xmlns:c15="http://schemas.microsoft.com/office/drawing/2012/chart" uri="{CE6537A1-D6FC-4f65-9D91-7224C49458BB}"/>
                <c:ext xmlns:c16="http://schemas.microsoft.com/office/drawing/2014/chart" uri="{C3380CC4-5D6E-409C-BE32-E72D297353CC}">
                  <c16:uniqueId val="{00000027-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5D0F-4B56-B4E5-41D1B9878312}"/>
                </c:ext>
              </c:extLst>
            </c:dLbl>
            <c:dLbl>
              <c:idx val="28"/>
              <c:delete val="1"/>
              <c:extLst>
                <c:ext xmlns:c15="http://schemas.microsoft.com/office/drawing/2012/chart" uri="{CE6537A1-D6FC-4f65-9D91-7224C49458BB}"/>
                <c:ext xmlns:c16="http://schemas.microsoft.com/office/drawing/2014/chart" uri="{C3380CC4-5D6E-409C-BE32-E72D297353CC}">
                  <c16:uniqueId val="{00000025-B0C7-4F38-9FE6-6FDC11A6F83A}"/>
                </c:ext>
              </c:extLst>
            </c:dLbl>
            <c:dLbl>
              <c:idx val="29"/>
              <c:delete val="1"/>
              <c:extLst>
                <c:ext xmlns:c15="http://schemas.microsoft.com/office/drawing/2012/chart" uri="{CE6537A1-D6FC-4f65-9D91-7224C49458BB}"/>
                <c:ext xmlns:c16="http://schemas.microsoft.com/office/drawing/2014/chart" uri="{C3380CC4-5D6E-409C-BE32-E72D297353CC}">
                  <c16:uniqueId val="{00000026-FA3E-4098-A347-20D183CA9E22}"/>
                </c:ext>
              </c:extLst>
            </c:dLbl>
            <c:dLbl>
              <c:idx val="30"/>
              <c:delete val="1"/>
              <c:extLst>
                <c:ext xmlns:c15="http://schemas.microsoft.com/office/drawing/2012/chart" uri="{CE6537A1-D6FC-4f65-9D91-7224C49458BB}"/>
                <c:ext xmlns:c16="http://schemas.microsoft.com/office/drawing/2014/chart" uri="{C3380CC4-5D6E-409C-BE32-E72D297353CC}">
                  <c16:uniqueId val="{00000024-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5-D0DA-4F9A-985A-D6921A8572B3}"/>
                </c:ext>
              </c:extLst>
            </c:dLbl>
            <c:dLbl>
              <c:idx val="32"/>
              <c:delete val="1"/>
              <c:extLst>
                <c:ext xmlns:c15="http://schemas.microsoft.com/office/drawing/2012/chart" uri="{CE6537A1-D6FC-4f65-9D91-7224C49458BB}"/>
                <c:ext xmlns:c16="http://schemas.microsoft.com/office/drawing/2014/chart" uri="{C3380CC4-5D6E-409C-BE32-E72D297353CC}">
                  <c16:uniqueId val="{00000026-D9C3-498A-B93B-8BB4BDBFD81E}"/>
                </c:ext>
              </c:extLst>
            </c:dLbl>
            <c:dLbl>
              <c:idx val="33"/>
              <c:layout>
                <c:manualLayout>
                  <c:x val="-2.4926686217008796E-2"/>
                  <c:y val="-3.23232323232323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98EE-4131-A7D4-DEE3E4383CDC}"/>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'3.2'!$A$14:$B$63</c15:sqref>
                  </c15:fullRef>
                </c:ext>
              </c:extLst>
              <c:f>'3.2'!$A$30:$B$63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'3.2'!$C$14:$C$63</c15:sqref>
                  </c15:fullRef>
                </c:ext>
              </c:extLst>
              <c:f>'3.2'!$C$30:$C$63</c:f>
              <c:numCache>
                <c:formatCode>#,##0.00</c:formatCode>
                <c:ptCount val="34"/>
                <c:pt idx="0">
                  <c:v>76.899999999999991</c:v>
                </c:pt>
                <c:pt idx="1">
                  <c:v>85.96</c:v>
                </c:pt>
                <c:pt idx="2">
                  <c:v>68.42</c:v>
                </c:pt>
                <c:pt idx="3">
                  <c:v>64.78</c:v>
                </c:pt>
                <c:pt idx="4">
                  <c:v>77.25</c:v>
                </c:pt>
                <c:pt idx="5">
                  <c:v>71.73</c:v>
                </c:pt>
                <c:pt idx="6">
                  <c:v>75.63</c:v>
                </c:pt>
                <c:pt idx="7">
                  <c:v>70.12</c:v>
                </c:pt>
                <c:pt idx="8">
                  <c:v>68.41</c:v>
                </c:pt>
                <c:pt idx="9">
                  <c:v>65.78</c:v>
                </c:pt>
                <c:pt idx="10">
                  <c:v>87.78</c:v>
                </c:pt>
                <c:pt idx="11">
                  <c:v>69.22</c:v>
                </c:pt>
                <c:pt idx="12">
                  <c:v>79.300000000000011</c:v>
                </c:pt>
                <c:pt idx="13">
                  <c:v>65.509999999999991</c:v>
                </c:pt>
                <c:pt idx="14">
                  <c:v>74.94</c:v>
                </c:pt>
                <c:pt idx="15">
                  <c:v>80.460000000000008</c:v>
                </c:pt>
                <c:pt idx="16">
                  <c:v>79.47</c:v>
                </c:pt>
                <c:pt idx="17">
                  <c:v>73.67</c:v>
                </c:pt>
                <c:pt idx="18">
                  <c:v>73.509999999999991</c:v>
                </c:pt>
                <c:pt idx="19">
                  <c:v>82.98</c:v>
                </c:pt>
                <c:pt idx="20">
                  <c:v>81.180000000000007</c:v>
                </c:pt>
                <c:pt idx="21">
                  <c:v>80.039999999999992</c:v>
                </c:pt>
                <c:pt idx="22">
                  <c:v>79.710000000000008</c:v>
                </c:pt>
                <c:pt idx="23">
                  <c:v>88.73</c:v>
                </c:pt>
                <c:pt idx="24">
                  <c:v>84.570000000000007</c:v>
                </c:pt>
                <c:pt idx="25">
                  <c:v>83.867000000000004</c:v>
                </c:pt>
                <c:pt idx="26">
                  <c:v>77.84</c:v>
                </c:pt>
                <c:pt idx="27">
                  <c:v>93.19</c:v>
                </c:pt>
                <c:pt idx="28">
                  <c:v>91.88</c:v>
                </c:pt>
                <c:pt idx="29">
                  <c:v>79.930000000000007</c:v>
                </c:pt>
                <c:pt idx="30">
                  <c:v>79.029999999999987</c:v>
                </c:pt>
                <c:pt idx="31">
                  <c:v>95.570000000000022</c:v>
                </c:pt>
                <c:pt idx="32">
                  <c:v>80.363</c:v>
                </c:pt>
                <c:pt idx="33">
                  <c:v>91.364999999999995</c:v>
                </c:pt>
              </c:numCache>
            </c:numRef>
          </c:val>
          <c:smooth val="0"/>
          <c:extLst>
            <c:ext xmlns:c15="http://schemas.microsoft.com/office/drawing/2012/chart" uri="{02D57815-91ED-43cb-92C2-25804820EDAC}">
              <c15:categoryFilterExceptions>
                <c15:categoryFilterException>
                  <c15:sqref>'3.2'!$C$18</c15:sqref>
                  <c15:dLbl>
                    <c:idx val="-1"/>
                    <c:delete val="1"/>
                    <c:extLst>
                      <c:ext uri="{CE6537A1-D6FC-4f65-9D91-7224C49458BB}"/>
                      <c:ext xmlns:c16="http://schemas.microsoft.com/office/drawing/2014/chart" uri="{C3380CC4-5D6E-409C-BE32-E72D297353CC}">
                        <c16:uniqueId val="{00000018-09D3-4CD3-B2A0-1E1F3BAFED62}"/>
                      </c:ext>
                    </c:extLst>
                  </c15:dLbl>
                </c15:categoryFilterException>
                <c15:categoryFilterException>
                  <c15:sqref>'3.2'!$C$19</c15:sqref>
                  <c15:dLbl>
                    <c:idx val="-1"/>
                    <c:delete val="1"/>
                    <c:extLst>
                      <c:ext uri="{CE6537A1-D6FC-4f65-9D91-7224C49458BB}"/>
                      <c:ext xmlns:c16="http://schemas.microsoft.com/office/drawing/2014/chart" uri="{C3380CC4-5D6E-409C-BE32-E72D297353CC}">
                        <c16:uniqueId val="{00000019-09D3-4CD3-B2A0-1E1F3BAFED62}"/>
                      </c:ext>
                    </c:extLst>
                  </c15:dLbl>
                </c15:categoryFilterException>
                <c15:categoryFilterException>
                  <c15:sqref>'3.2'!$C$20</c15:sqref>
                  <c15:dLbl>
                    <c:idx val="-1"/>
                    <c:delete val="1"/>
                    <c:extLst>
                      <c:ext uri="{CE6537A1-D6FC-4f65-9D91-7224C49458BB}"/>
                      <c:ext xmlns:c16="http://schemas.microsoft.com/office/drawing/2014/chart" uri="{C3380CC4-5D6E-409C-BE32-E72D297353CC}">
                        <c16:uniqueId val="{0000001A-09D3-4CD3-B2A0-1E1F3BAFED62}"/>
                      </c:ext>
                    </c:extLst>
                  </c15:dLbl>
                </c15:categoryFilterException>
                <c15:categoryFilterException>
                  <c15:sqref>'3.2'!$C$21</c15:sqref>
                  <c15:dLbl>
                    <c:idx val="-1"/>
                    <c:delete val="1"/>
                    <c:extLst>
                      <c:ext uri="{CE6537A1-D6FC-4f65-9D91-7224C49458BB}"/>
                      <c:ext xmlns:c16="http://schemas.microsoft.com/office/drawing/2014/chart" uri="{C3380CC4-5D6E-409C-BE32-E72D297353CC}">
                        <c16:uniqueId val="{0000001B-09D3-4CD3-B2A0-1E1F3BAFED62}"/>
                      </c:ext>
                    </c:extLst>
                  </c15:dLbl>
                </c15:categoryFilterException>
                <c15:categoryFilterException>
                  <c15:sqref>'3.2'!$C$22</c15:sqref>
                  <c15:dLbl>
                    <c:idx val="-1"/>
                    <c:delete val="1"/>
                    <c:extLst>
                      <c:ext uri="{CE6537A1-D6FC-4f65-9D91-7224C49458BB}"/>
                      <c:ext xmlns:c16="http://schemas.microsoft.com/office/drawing/2014/chart" uri="{C3380CC4-5D6E-409C-BE32-E72D297353CC}">
                        <c16:uniqueId val="{0000001C-09D3-4CD3-B2A0-1E1F3BAFED62}"/>
                      </c:ext>
                    </c:extLst>
                  </c15:dLbl>
                </c15:categoryFilterException>
                <c15:categoryFilterException>
                  <c15:sqref>'3.2'!$C$23</c15:sqref>
                  <c15:dLbl>
                    <c:idx val="-1"/>
                    <c:delete val="1"/>
                    <c:extLst>
                      <c:ext uri="{CE6537A1-D6FC-4f65-9D91-7224C49458BB}"/>
                      <c:ext xmlns:c16="http://schemas.microsoft.com/office/drawing/2014/chart" uri="{C3380CC4-5D6E-409C-BE32-E72D297353CC}">
                        <c16:uniqueId val="{0000001D-09D3-4CD3-B2A0-1E1F3BAFED62}"/>
                      </c:ext>
                    </c:extLst>
                  </c15:dLbl>
                </c15:categoryFilterException>
                <c15:categoryFilterException>
                  <c15:sqref>'3.2'!$C$24</c15:sqref>
                  <c15:dLbl>
                    <c:idx val="-1"/>
                    <c:delete val="1"/>
                    <c:extLst>
                      <c:ext uri="{CE6537A1-D6FC-4f65-9D91-7224C49458BB}"/>
                      <c:ext xmlns:c16="http://schemas.microsoft.com/office/drawing/2014/chart" uri="{C3380CC4-5D6E-409C-BE32-E72D297353CC}">
                        <c16:uniqueId val="{0000001E-09D3-4CD3-B2A0-1E1F3BAFED62}"/>
                      </c:ext>
                    </c:extLst>
                  </c15:dLbl>
                </c15:categoryFilterException>
                <c15:categoryFilterException>
                  <c15:sqref>'3.2'!$C$25</c15:sqref>
                  <c15:dLbl>
                    <c:idx val="-1"/>
                    <c:delete val="1"/>
                    <c:extLst>
                      <c:ext uri="{CE6537A1-D6FC-4f65-9D91-7224C49458BB}"/>
                      <c:ext xmlns:c16="http://schemas.microsoft.com/office/drawing/2014/chart" uri="{C3380CC4-5D6E-409C-BE32-E72D297353CC}">
                        <c16:uniqueId val="{0000001F-09D3-4CD3-B2A0-1E1F3BAFED62}"/>
                      </c:ext>
                    </c:extLst>
                  </c15:dLbl>
                </c15:categoryFilterException>
                <c15:categoryFilterException>
                  <c15:sqref>'3.2'!$C$26</c15:sqref>
                  <c15:dLbl>
                    <c:idx val="-1"/>
                    <c:delete val="1"/>
                    <c:extLst>
                      <c:ext uri="{CE6537A1-D6FC-4f65-9D91-7224C49458BB}"/>
                      <c:ext xmlns:c16="http://schemas.microsoft.com/office/drawing/2014/chart" uri="{C3380CC4-5D6E-409C-BE32-E72D297353CC}">
                        <c16:uniqueId val="{00000020-09D3-4CD3-B2A0-1E1F3BAFED62}"/>
                      </c:ext>
                    </c:extLst>
                  </c15:dLbl>
                </c15:categoryFilterException>
                <c15:categoryFilterException>
                  <c15:sqref>'3.2'!$C$27</c15:sqref>
                  <c15:dLbl>
                    <c:idx val="-1"/>
                    <c:delete val="1"/>
                    <c:extLst>
                      <c:ext uri="{CE6537A1-D6FC-4f65-9D91-7224C49458BB}"/>
                      <c:ext xmlns:c16="http://schemas.microsoft.com/office/drawing/2014/chart" uri="{C3380CC4-5D6E-409C-BE32-E72D297353CC}">
                        <c16:uniqueId val="{00000021-09D3-4CD3-B2A0-1E1F3BAFED62}"/>
                      </c:ext>
                    </c:extLst>
                  </c15:dLbl>
                </c15:categoryFilterException>
                <c15:categoryFilterException>
                  <c15:sqref>'3.2'!$C$28</c15:sqref>
                  <c15:dLbl>
                    <c:idx val="-1"/>
                    <c:delete val="1"/>
                    <c:extLst>
                      <c:ext uri="{CE6537A1-D6FC-4f65-9D91-7224C49458BB}"/>
                      <c:ext xmlns:c16="http://schemas.microsoft.com/office/drawing/2014/chart" uri="{C3380CC4-5D6E-409C-BE32-E72D297353CC}">
                        <c16:uniqueId val="{00000022-09D3-4CD3-B2A0-1E1F3BAFED62}"/>
                      </c:ext>
                    </c:extLst>
                  </c15:dLbl>
                </c15:categoryFilterException>
                <c15:categoryFilterException>
                  <c15:sqref>'3.2'!$C$29</c15:sqref>
                  <c15:dLbl>
                    <c:idx val="-1"/>
                    <c:delete val="1"/>
                    <c:extLst>
                      <c:ext uri="{CE6537A1-D6FC-4f65-9D91-7224C49458BB}"/>
                      <c:ext xmlns:c16="http://schemas.microsoft.com/office/drawing/2014/chart" uri="{C3380CC4-5D6E-409C-BE32-E72D297353CC}">
                        <c16:uniqueId val="{00000023-09D3-4CD3-B2A0-1E1F3BAFED62}"/>
                      </c:ext>
                    </c:extLst>
                  </c15:dLbl>
                </c15:categoryFilterException>
              </c15:categoryFilterExceptions>
            </c:ext>
            <c:ext xmlns:c16="http://schemas.microsoft.com/office/drawing/2014/chart" uri="{C3380CC4-5D6E-409C-BE32-E72D297353CC}">
              <c16:uniqueId val="{0000004C-F095-4740-B401-3D1D9CBCDC20}"/>
            </c:ext>
          </c:extLst>
        </c:ser>
        <c:dLbls>
          <c:showLegendKey val="0"/>
          <c:showVal val="0"/>
          <c:showCatName val="0"/>
          <c:showSerName val="0"/>
          <c:showPercent val="0"/>
          <c:showBubbleSize val="0"/>
        </c:dLbls>
        <c:marker val="1"/>
        <c:smooth val="0"/>
        <c:axId val="486516736"/>
        <c:axId val="486517128"/>
      </c:lineChart>
      <c:catAx>
        <c:axId val="486516736"/>
        <c:scaling>
          <c:orientation val="minMax"/>
        </c:scaling>
        <c:delete val="0"/>
        <c:axPos val="b"/>
        <c:numFmt formatCode="General" sourceLinked="0"/>
        <c:majorTickMark val="none"/>
        <c:minorTickMark val="none"/>
        <c:tickLblPos val="nextTo"/>
        <c:txPr>
          <a:bodyPr/>
          <a:lstStyle/>
          <a:p>
            <a:pPr>
              <a:defRPr sz="1000" b="0">
                <a:latin typeface="Geomanist" panose="02000503000000020004" pitchFamily="50" charset="0"/>
              </a:defRPr>
            </a:pPr>
            <a:endParaRPr lang="en-US"/>
          </a:p>
        </c:txPr>
        <c:crossAx val="486517128"/>
        <c:crosses val="autoZero"/>
        <c:auto val="1"/>
        <c:lblAlgn val="ctr"/>
        <c:lblOffset val="100"/>
        <c:noMultiLvlLbl val="0"/>
      </c:catAx>
      <c:valAx>
        <c:axId val="486517128"/>
        <c:scaling>
          <c:orientation val="minMax"/>
        </c:scaling>
        <c:delete val="0"/>
        <c:axPos val="l"/>
        <c:majorGridlines>
          <c:spPr>
            <a:ln>
              <a:solidFill>
                <a:schemeClr val="bg1">
                  <a:lumMod val="85000"/>
                </a:schemeClr>
              </a:solidFill>
              <a:prstDash val="solid"/>
            </a:ln>
          </c:spPr>
        </c:majorGridlines>
        <c:title>
          <c:tx>
            <c:rich>
              <a:bodyPr rot="-5400000" vert="horz"/>
              <a:lstStyle/>
              <a:p>
                <a:pPr>
                  <a:defRPr>
                    <a:latin typeface="Geomanist" panose="02000503000000020004" pitchFamily="50" charset="0"/>
                  </a:defRPr>
                </a:pPr>
                <a:r>
                  <a:rPr lang="en-US">
                    <a:latin typeface="Geomanist" panose="02000503000000020004" pitchFamily="50" charset="0"/>
                  </a:rPr>
                  <a:t>BND Million</a:t>
                </a:r>
              </a:p>
            </c:rich>
          </c:tx>
          <c:layout>
            <c:manualLayout>
              <c:xMode val="edge"/>
              <c:yMode val="edge"/>
              <c:x val="2.9328821467496449E-3"/>
              <c:y val="0.37562395609639704"/>
            </c:manualLayout>
          </c:layout>
          <c:overlay val="0"/>
        </c:title>
        <c:numFmt formatCode="#,##0.00" sourceLinked="1"/>
        <c:majorTickMark val="none"/>
        <c:minorTickMark val="none"/>
        <c:tickLblPos val="nextTo"/>
        <c:txPr>
          <a:bodyPr/>
          <a:lstStyle/>
          <a:p>
            <a:pPr>
              <a:defRPr sz="1100" b="0">
                <a:latin typeface="Geomanist" panose="02000503000000020004" pitchFamily="50" charset="0"/>
              </a:defRPr>
            </a:pPr>
            <a:endParaRPr lang="en-US"/>
          </a:p>
        </c:txPr>
        <c:crossAx val="486516736"/>
        <c:crosses val="autoZero"/>
        <c:crossBetween val="between"/>
      </c:valAx>
      <c:spPr>
        <a:ln w="0">
          <a:solidFill>
            <a:schemeClr val="bg1">
              <a:lumMod val="85000"/>
            </a:schemeClr>
          </a:solidFill>
        </a:ln>
      </c:spPr>
    </c:plotArea>
    <c:legend>
      <c:legendPos val="r"/>
      <c:layout>
        <c:manualLayout>
          <c:xMode val="edge"/>
          <c:yMode val="edge"/>
          <c:x val="0.19672226171862506"/>
          <c:y val="0.9398902409926031"/>
          <c:w val="0.57237572166587602"/>
          <c:h val="4.1666131843299779E-2"/>
        </c:manualLayout>
      </c:layout>
      <c:overlay val="0"/>
      <c:txPr>
        <a:bodyPr/>
        <a:lstStyle/>
        <a:p>
          <a:pPr>
            <a:defRPr>
              <a:latin typeface="Geomanist" panose="02000503000000020004" pitchFamily="50" charset="0"/>
            </a:defRPr>
          </a:pPr>
          <a:endParaRPr lang="en-US"/>
        </a:p>
      </c:txPr>
    </c:legend>
    <c:plotVisOnly val="1"/>
    <c:dispBlanksAs val="gap"/>
    <c:showDLblsOverMax val="0"/>
  </c:chart>
  <c:txPr>
    <a:bodyPr/>
    <a:lstStyle/>
    <a:p>
      <a:pPr>
        <a:defRPr sz="1100" b="1" i="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3.3: </a:t>
            </a:r>
            <a:r>
              <a:rPr lang="en-US" sz="2000">
                <a:solidFill>
                  <a:srgbClr val="D4C029"/>
                </a:solidFill>
                <a:latin typeface="Heuristica" panose="02020603050705020204" pitchFamily="18" charset="0"/>
              </a:rPr>
              <a:t>Insurance/ Takaful: Gross Claims</a:t>
            </a:r>
          </a:p>
        </c:rich>
      </c:tx>
      <c:layout>
        <c:manualLayout>
          <c:xMode val="edge"/>
          <c:yMode val="edge"/>
          <c:x val="0.20339044496270811"/>
          <c:y val="0"/>
        </c:manualLayout>
      </c:layout>
      <c:overlay val="0"/>
    </c:title>
    <c:autoTitleDeleted val="0"/>
    <c:plotArea>
      <c:layout>
        <c:manualLayout>
          <c:layoutTarget val="inner"/>
          <c:xMode val="edge"/>
          <c:yMode val="edge"/>
          <c:x val="9.0392430784861574E-2"/>
          <c:y val="5.9920623558418831E-2"/>
          <c:w val="0.90161628947012729"/>
          <c:h val="0.75695856794621819"/>
        </c:manualLayout>
      </c:layout>
      <c:barChart>
        <c:barDir val="col"/>
        <c:grouping val="stacked"/>
        <c:varyColors val="0"/>
        <c:ser>
          <c:idx val="0"/>
          <c:order val="0"/>
          <c:tx>
            <c:strRef>
              <c:f>'3.3'!$D$4:$F$4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32-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33-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34-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35-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0-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36-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37-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2-26B2-4AD2-A615-E65B0CAC3771}"/>
                </c:ext>
              </c:extLst>
            </c:dLbl>
            <c:dLbl>
              <c:idx val="9"/>
              <c:delete val="1"/>
              <c:extLst>
                <c:ext xmlns:c15="http://schemas.microsoft.com/office/drawing/2012/chart" uri="{CE6537A1-D6FC-4f65-9D91-7224C49458BB}"/>
                <c:ext xmlns:c16="http://schemas.microsoft.com/office/drawing/2014/chart" uri="{C3380CC4-5D6E-409C-BE32-E72D297353CC}">
                  <c16:uniqueId val="{0000000E-C3BA-432F-9F30-F8504776DAB2}"/>
                </c:ext>
              </c:extLst>
            </c:dLbl>
            <c:dLbl>
              <c:idx val="10"/>
              <c:delete val="1"/>
              <c:extLst>
                <c:ext xmlns:c15="http://schemas.microsoft.com/office/drawing/2012/chart" uri="{CE6537A1-D6FC-4f65-9D91-7224C49458BB}"/>
                <c:ext xmlns:c16="http://schemas.microsoft.com/office/drawing/2014/chart" uri="{C3380CC4-5D6E-409C-BE32-E72D297353CC}">
                  <c16:uniqueId val="{0000000E-2C01-4045-B743-43E2B3398FEF}"/>
                </c:ext>
              </c:extLst>
            </c:dLbl>
            <c:dLbl>
              <c:idx val="11"/>
              <c:delete val="1"/>
              <c:extLst>
                <c:ext xmlns:c15="http://schemas.microsoft.com/office/drawing/2012/chart" uri="{CE6537A1-D6FC-4f65-9D91-7224C49458BB}"/>
                <c:ext xmlns:c16="http://schemas.microsoft.com/office/drawing/2014/chart" uri="{C3380CC4-5D6E-409C-BE32-E72D297353CC}">
                  <c16:uniqueId val="{0000000E-58A4-413F-A56C-AF5B5E1AA6C9}"/>
                </c:ext>
              </c:extLst>
            </c:dLbl>
            <c:dLbl>
              <c:idx val="12"/>
              <c:delete val="1"/>
              <c:extLst>
                <c:ext xmlns:c15="http://schemas.microsoft.com/office/drawing/2012/chart" uri="{CE6537A1-D6FC-4f65-9D91-7224C49458BB}"/>
                <c:ext xmlns:c16="http://schemas.microsoft.com/office/drawing/2014/chart" uri="{C3380CC4-5D6E-409C-BE32-E72D297353CC}">
                  <c16:uniqueId val="{0000000C-4661-4DE3-9AE3-BEB6CD8533C7}"/>
                </c:ext>
              </c:extLst>
            </c:dLbl>
            <c:dLbl>
              <c:idx val="13"/>
              <c:delete val="1"/>
              <c:extLst>
                <c:ext xmlns:c15="http://schemas.microsoft.com/office/drawing/2012/chart" uri="{CE6537A1-D6FC-4f65-9D91-7224C49458BB}"/>
                <c:ext xmlns:c16="http://schemas.microsoft.com/office/drawing/2014/chart" uri="{C3380CC4-5D6E-409C-BE32-E72D297353CC}">
                  <c16:uniqueId val="{00000009-3386-4585-8DFF-9EC0528BA8AC}"/>
                </c:ext>
              </c:extLst>
            </c:dLbl>
            <c:dLbl>
              <c:idx val="14"/>
              <c:delete val="1"/>
              <c:extLst>
                <c:ext xmlns:c15="http://schemas.microsoft.com/office/drawing/2012/chart" uri="{CE6537A1-D6FC-4f65-9D91-7224C49458BB}"/>
                <c:ext xmlns:c16="http://schemas.microsoft.com/office/drawing/2014/chart" uri="{C3380CC4-5D6E-409C-BE32-E72D297353CC}">
                  <c16:uniqueId val="{00000008-75FA-464D-B7F7-86679D1E3521}"/>
                </c:ext>
              </c:extLst>
            </c:dLbl>
            <c:dLbl>
              <c:idx val="15"/>
              <c:delete val="1"/>
              <c:extLst>
                <c:ext xmlns:c15="http://schemas.microsoft.com/office/drawing/2012/chart" uri="{CE6537A1-D6FC-4f65-9D91-7224C49458BB}"/>
                <c:ext xmlns:c16="http://schemas.microsoft.com/office/drawing/2014/chart" uri="{C3380CC4-5D6E-409C-BE32-E72D297353CC}">
                  <c16:uniqueId val="{00000015-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5-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5-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4-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2-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0-9CB1-4394-895A-35525C0426E0}"/>
                </c:ext>
              </c:extLst>
            </c:dLbl>
            <c:dLbl>
              <c:idx val="21"/>
              <c:delete val="1"/>
              <c:extLst>
                <c:ext xmlns:c15="http://schemas.microsoft.com/office/drawing/2012/chart" uri="{CE6537A1-D6FC-4f65-9D91-7224C49458BB}"/>
                <c:ext xmlns:c16="http://schemas.microsoft.com/office/drawing/2014/chart" uri="{C3380CC4-5D6E-409C-BE32-E72D297353CC}">
                  <c16:uniqueId val="{00000021-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2-985C-43A3-8964-C79071A87427}"/>
                </c:ext>
              </c:extLst>
            </c:dLbl>
            <c:dLbl>
              <c:idx val="23"/>
              <c:delete val="1"/>
              <c:extLst>
                <c:ext xmlns:c15="http://schemas.microsoft.com/office/drawing/2012/chart" uri="{CE6537A1-D6FC-4f65-9D91-7224C49458BB}"/>
                <c:ext xmlns:c16="http://schemas.microsoft.com/office/drawing/2014/chart" uri="{C3380CC4-5D6E-409C-BE32-E72D297353CC}">
                  <c16:uniqueId val="{00000022-E2C6-41C9-B851-B8197CEB208E}"/>
                </c:ext>
              </c:extLst>
            </c:dLbl>
            <c:dLbl>
              <c:idx val="24"/>
              <c:delete val="1"/>
              <c:extLst>
                <c:ext xmlns:c15="http://schemas.microsoft.com/office/drawing/2012/chart" uri="{CE6537A1-D6FC-4f65-9D91-7224C49458BB}"/>
                <c:ext xmlns:c16="http://schemas.microsoft.com/office/drawing/2014/chart" uri="{C3380CC4-5D6E-409C-BE32-E72D297353CC}">
                  <c16:uniqueId val="{00000023-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2-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2-87C7-4FAD-AA4B-AE0BEFC0F95E}"/>
                </c:ext>
              </c:extLst>
            </c:dLbl>
            <c:dLbl>
              <c:idx val="27"/>
              <c:delete val="1"/>
              <c:extLst>
                <c:ext xmlns:c15="http://schemas.microsoft.com/office/drawing/2012/chart" uri="{CE6537A1-D6FC-4f65-9D91-7224C49458BB}"/>
                <c:ext xmlns:c16="http://schemas.microsoft.com/office/drawing/2014/chart" uri="{C3380CC4-5D6E-409C-BE32-E72D297353CC}">
                  <c16:uniqueId val="{00000023-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0-9811-4214-9E94-6AB454351A33}"/>
                </c:ext>
              </c:extLst>
            </c:dLbl>
            <c:dLbl>
              <c:idx val="29"/>
              <c:delete val="1"/>
              <c:extLst>
                <c:ext xmlns:c15="http://schemas.microsoft.com/office/drawing/2012/chart" uri="{CE6537A1-D6FC-4f65-9D91-7224C49458BB}"/>
                <c:ext xmlns:c16="http://schemas.microsoft.com/office/drawing/2014/chart" uri="{C3380CC4-5D6E-409C-BE32-E72D297353CC}">
                  <c16:uniqueId val="{00000020-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2-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2-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1-545A-477D-8FCE-FC45717F0A66}"/>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'3.3'!$A$14:$B$63</c15:sqref>
                  </c15:fullRef>
                </c:ext>
              </c:extLst>
              <c:f>'3.3'!$A$30:$B$63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'3.3'!$D$14:$D$63</c15:sqref>
                  </c15:fullRef>
                </c:ext>
              </c:extLst>
              <c:f>'3.3'!$D$30:$D$63</c:f>
              <c:numCache>
                <c:formatCode>#,##0.00</c:formatCode>
                <c:ptCount val="34"/>
                <c:pt idx="0">
                  <c:v>19.759999999999998</c:v>
                </c:pt>
                <c:pt idx="1">
                  <c:v>19.410000000000004</c:v>
                </c:pt>
                <c:pt idx="2">
                  <c:v>18.84</c:v>
                </c:pt>
                <c:pt idx="3">
                  <c:v>18.810000000000002</c:v>
                </c:pt>
                <c:pt idx="4">
                  <c:v>15.27</c:v>
                </c:pt>
                <c:pt idx="5">
                  <c:v>17.169999999999998</c:v>
                </c:pt>
                <c:pt idx="6">
                  <c:v>16.95</c:v>
                </c:pt>
                <c:pt idx="7">
                  <c:v>16.580000000000002</c:v>
                </c:pt>
                <c:pt idx="8">
                  <c:v>15.149999999999999</c:v>
                </c:pt>
                <c:pt idx="9">
                  <c:v>20.83</c:v>
                </c:pt>
                <c:pt idx="10">
                  <c:v>21.19</c:v>
                </c:pt>
                <c:pt idx="11">
                  <c:v>25.5</c:v>
                </c:pt>
                <c:pt idx="12">
                  <c:v>17.72</c:v>
                </c:pt>
                <c:pt idx="13">
                  <c:v>18.399999999999999</c:v>
                </c:pt>
                <c:pt idx="14">
                  <c:v>25.41</c:v>
                </c:pt>
                <c:pt idx="15">
                  <c:v>19.670000000000002</c:v>
                </c:pt>
                <c:pt idx="16">
                  <c:v>16.16</c:v>
                </c:pt>
                <c:pt idx="17">
                  <c:v>16.060000000000002</c:v>
                </c:pt>
                <c:pt idx="18">
                  <c:v>16.13</c:v>
                </c:pt>
                <c:pt idx="19">
                  <c:v>17.05</c:v>
                </c:pt>
                <c:pt idx="20">
                  <c:v>44.81</c:v>
                </c:pt>
                <c:pt idx="21">
                  <c:v>14.48</c:v>
                </c:pt>
                <c:pt idx="22">
                  <c:v>14.65</c:v>
                </c:pt>
                <c:pt idx="23">
                  <c:v>17.38</c:v>
                </c:pt>
                <c:pt idx="24">
                  <c:v>20.89</c:v>
                </c:pt>
                <c:pt idx="25">
                  <c:v>19.571999999999999</c:v>
                </c:pt>
                <c:pt idx="26">
                  <c:v>33.71</c:v>
                </c:pt>
                <c:pt idx="27">
                  <c:v>17.100000000000001</c:v>
                </c:pt>
                <c:pt idx="28">
                  <c:v>19.240000000000002</c:v>
                </c:pt>
                <c:pt idx="29">
                  <c:v>18.93</c:v>
                </c:pt>
                <c:pt idx="30">
                  <c:v>17.18</c:v>
                </c:pt>
                <c:pt idx="31">
                  <c:v>7.5100000000000025</c:v>
                </c:pt>
                <c:pt idx="32">
                  <c:v>22.719000000000001</c:v>
                </c:pt>
                <c:pt idx="33">
                  <c:v>13.06</c:v>
                </c:pt>
              </c:numCache>
            </c:numRef>
          </c:val>
          <c:extLst>
            <c:ext xmlns:c15="http://schemas.microsoft.com/office/drawing/2012/chart" uri="{02D57815-91ED-43cb-92C2-25804820EDAC}">
              <c15:categoryFilterExceptions>
                <c15:categoryFilterException>
                  <c15:sqref>'3.3'!$D$18</c15:sqref>
                  <c15:dLbl>
                    <c:idx val="-1"/>
                    <c:delete val="1"/>
                    <c:extLst>
                      <c:ext uri="{CE6537A1-D6FC-4f65-9D91-7224C49458BB}"/>
                      <c:ext xmlns:c16="http://schemas.microsoft.com/office/drawing/2014/chart" uri="{C3380CC4-5D6E-409C-BE32-E72D297353CC}">
                        <c16:uniqueId val="{00000000-DC65-445A-80AF-223B66E99F02}"/>
                      </c:ext>
                    </c:extLst>
                  </c15:dLbl>
                </c15:categoryFilterException>
                <c15:categoryFilterException>
                  <c15:sqref>'3.3'!$D$19</c15:sqref>
                  <c15:dLbl>
                    <c:idx val="-1"/>
                    <c:delete val="1"/>
                    <c:extLst>
                      <c:ext uri="{CE6537A1-D6FC-4f65-9D91-7224C49458BB}"/>
                      <c:ext xmlns:c16="http://schemas.microsoft.com/office/drawing/2014/chart" uri="{C3380CC4-5D6E-409C-BE32-E72D297353CC}">
                        <c16:uniqueId val="{00000001-DC65-445A-80AF-223B66E99F02}"/>
                      </c:ext>
                    </c:extLst>
                  </c15:dLbl>
                </c15:categoryFilterException>
                <c15:categoryFilterException>
                  <c15:sqref>'3.3'!$D$20</c15:sqref>
                  <c15:dLbl>
                    <c:idx val="-1"/>
                    <c:delete val="1"/>
                    <c:extLst>
                      <c:ext uri="{CE6537A1-D6FC-4f65-9D91-7224C49458BB}"/>
                      <c:ext xmlns:c16="http://schemas.microsoft.com/office/drawing/2014/chart" uri="{C3380CC4-5D6E-409C-BE32-E72D297353CC}">
                        <c16:uniqueId val="{00000002-DC65-445A-80AF-223B66E99F02}"/>
                      </c:ext>
                    </c:extLst>
                  </c15:dLbl>
                </c15:categoryFilterException>
                <c15:categoryFilterException>
                  <c15:sqref>'3.3'!$D$21</c15:sqref>
                  <c15:dLbl>
                    <c:idx val="-1"/>
                    <c:delete val="1"/>
                    <c:extLst>
                      <c:ext uri="{CE6537A1-D6FC-4f65-9D91-7224C49458BB}"/>
                      <c:ext xmlns:c16="http://schemas.microsoft.com/office/drawing/2014/chart" uri="{C3380CC4-5D6E-409C-BE32-E72D297353CC}">
                        <c16:uniqueId val="{00000003-DC65-445A-80AF-223B66E99F02}"/>
                      </c:ext>
                    </c:extLst>
                  </c15:dLbl>
                </c15:categoryFilterException>
                <c15:categoryFilterException>
                  <c15:sqref>'3.3'!$D$22</c15:sqref>
                  <c15:dLbl>
                    <c:idx val="-1"/>
                    <c:delete val="1"/>
                    <c:extLst>
                      <c:ext uri="{CE6537A1-D6FC-4f65-9D91-7224C49458BB}"/>
                      <c:ext xmlns:c16="http://schemas.microsoft.com/office/drawing/2014/chart" uri="{C3380CC4-5D6E-409C-BE32-E72D297353CC}">
                        <c16:uniqueId val="{00000004-DC65-445A-80AF-223B66E99F02}"/>
                      </c:ext>
                    </c:extLst>
                  </c15:dLbl>
                </c15:categoryFilterException>
                <c15:categoryFilterException>
                  <c15:sqref>'3.3'!$D$23</c15:sqref>
                  <c15:dLbl>
                    <c:idx val="-1"/>
                    <c:delete val="1"/>
                    <c:extLst>
                      <c:ext uri="{CE6537A1-D6FC-4f65-9D91-7224C49458BB}"/>
                      <c:ext xmlns:c16="http://schemas.microsoft.com/office/drawing/2014/chart" uri="{C3380CC4-5D6E-409C-BE32-E72D297353CC}">
                        <c16:uniqueId val="{00000005-DC65-445A-80AF-223B66E99F02}"/>
                      </c:ext>
                    </c:extLst>
                  </c15:dLbl>
                </c15:categoryFilterException>
                <c15:categoryFilterException>
                  <c15:sqref>'3.3'!$D$24</c15:sqref>
                  <c15:dLbl>
                    <c:idx val="-1"/>
                    <c:delete val="1"/>
                    <c:extLst>
                      <c:ext uri="{CE6537A1-D6FC-4f65-9D91-7224C49458BB}"/>
                      <c:ext xmlns:c16="http://schemas.microsoft.com/office/drawing/2014/chart" uri="{C3380CC4-5D6E-409C-BE32-E72D297353CC}">
                        <c16:uniqueId val="{00000006-DC65-445A-80AF-223B66E99F02}"/>
                      </c:ext>
                    </c:extLst>
                  </c15:dLbl>
                </c15:categoryFilterException>
                <c15:categoryFilterException>
                  <c15:sqref>'3.3'!$D$25</c15:sqref>
                  <c15:dLbl>
                    <c:idx val="-1"/>
                    <c:delete val="1"/>
                    <c:extLst>
                      <c:ext uri="{CE6537A1-D6FC-4f65-9D91-7224C49458BB}"/>
                      <c:ext xmlns:c16="http://schemas.microsoft.com/office/drawing/2014/chart" uri="{C3380CC4-5D6E-409C-BE32-E72D297353CC}">
                        <c16:uniqueId val="{00000007-DC65-445A-80AF-223B66E99F02}"/>
                      </c:ext>
                    </c:extLst>
                  </c15:dLbl>
                </c15:categoryFilterException>
                <c15:categoryFilterException>
                  <c15:sqref>'3.3'!$D$26</c15:sqref>
                  <c15:dLbl>
                    <c:idx val="-1"/>
                    <c:delete val="1"/>
                    <c:extLst>
                      <c:ext uri="{CE6537A1-D6FC-4f65-9D91-7224C49458BB}"/>
                      <c:ext xmlns:c16="http://schemas.microsoft.com/office/drawing/2014/chart" uri="{C3380CC4-5D6E-409C-BE32-E72D297353CC}">
                        <c16:uniqueId val="{00000008-DC65-445A-80AF-223B66E99F02}"/>
                      </c:ext>
                    </c:extLst>
                  </c15:dLbl>
                </c15:categoryFilterException>
                <c15:categoryFilterException>
                  <c15:sqref>'3.3'!$D$27</c15:sqref>
                  <c15:dLbl>
                    <c:idx val="-1"/>
                    <c:delete val="1"/>
                    <c:extLst>
                      <c:ext uri="{CE6537A1-D6FC-4f65-9D91-7224C49458BB}"/>
                      <c:ext xmlns:c16="http://schemas.microsoft.com/office/drawing/2014/chart" uri="{C3380CC4-5D6E-409C-BE32-E72D297353CC}">
                        <c16:uniqueId val="{00000009-DC65-445A-80AF-223B66E99F02}"/>
                      </c:ext>
                    </c:extLst>
                  </c15:dLbl>
                </c15:categoryFilterException>
                <c15:categoryFilterException>
                  <c15:sqref>'3.3'!$D$28</c15:sqref>
                  <c15:dLbl>
                    <c:idx val="-1"/>
                    <c:delete val="1"/>
                    <c:extLst>
                      <c:ext uri="{CE6537A1-D6FC-4f65-9D91-7224C49458BB}"/>
                      <c:ext xmlns:c16="http://schemas.microsoft.com/office/drawing/2014/chart" uri="{C3380CC4-5D6E-409C-BE32-E72D297353CC}">
                        <c16:uniqueId val="{0000000A-DC65-445A-80AF-223B66E99F02}"/>
                      </c:ext>
                    </c:extLst>
                  </c15:dLbl>
                </c15:categoryFilterException>
                <c15:categoryFilterException>
                  <c15:sqref>'3.3'!$D$29</c15:sqref>
                  <c15:dLbl>
                    <c:idx val="-1"/>
                    <c:delete val="1"/>
                    <c:extLst>
                      <c:ext uri="{CE6537A1-D6FC-4f65-9D91-7224C49458BB}"/>
                      <c:ext xmlns:c16="http://schemas.microsoft.com/office/drawing/2014/chart" uri="{C3380CC4-5D6E-409C-BE32-E72D297353CC}">
                        <c16:uniqueId val="{0000000B-DC65-445A-80AF-223B66E99F02}"/>
                      </c:ext>
                    </c:extLst>
                  </c15:dLbl>
                </c15:categoryFilterException>
              </c15:categoryFilterExceptions>
            </c:ext>
            <c:ext xmlns:c16="http://schemas.microsoft.com/office/drawing/2014/chart" uri="{C3380CC4-5D6E-409C-BE32-E72D297353CC}">
              <c16:uniqueId val="{00000001-7135-4CEF-B63F-7B7EB48BF336}"/>
            </c:ext>
          </c:extLst>
        </c:ser>
        <c:ser>
          <c:idx val="1"/>
          <c:order val="1"/>
          <c:tx>
            <c:strRef>
              <c:f>'3.3'!$G$4:$I$4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3386-4585-8DFF-9EC0528BA8AC}"/>
                </c:ext>
              </c:extLst>
            </c:dLbl>
            <c:dLbl>
              <c:idx val="1"/>
              <c:delete val="1"/>
              <c:extLst>
                <c:ext xmlns:c15="http://schemas.microsoft.com/office/drawing/2012/chart" uri="{CE6537A1-D6FC-4f65-9D91-7224C49458BB}"/>
                <c:ext xmlns:c16="http://schemas.microsoft.com/office/drawing/2014/chart" uri="{C3380CC4-5D6E-409C-BE32-E72D297353CC}">
                  <c16:uniqueId val="{00000013-3386-4585-8DFF-9EC0528BA8AC}"/>
                </c:ext>
              </c:extLst>
            </c:dLbl>
            <c:dLbl>
              <c:idx val="2"/>
              <c:delete val="1"/>
              <c:extLst>
                <c:ext xmlns:c15="http://schemas.microsoft.com/office/drawing/2012/chart" uri="{CE6537A1-D6FC-4f65-9D91-7224C49458BB}"/>
                <c:ext xmlns:c16="http://schemas.microsoft.com/office/drawing/2014/chart" uri="{C3380CC4-5D6E-409C-BE32-E72D297353CC}">
                  <c16:uniqueId val="{00000014-3386-4585-8DFF-9EC0528BA8AC}"/>
                </c:ext>
              </c:extLst>
            </c:dLbl>
            <c:dLbl>
              <c:idx val="3"/>
              <c:delete val="1"/>
              <c:extLst>
                <c:ext xmlns:c15="http://schemas.microsoft.com/office/drawing/2012/chart" uri="{CE6537A1-D6FC-4f65-9D91-7224C49458BB}"/>
                <c:ext xmlns:c16="http://schemas.microsoft.com/office/drawing/2014/chart" uri="{C3380CC4-5D6E-409C-BE32-E72D297353CC}">
                  <c16:uniqueId val="{00000015-3386-4585-8DFF-9EC0528BA8AC}"/>
                </c:ext>
              </c:extLst>
            </c:dLbl>
            <c:dLbl>
              <c:idx val="4"/>
              <c:delete val="1"/>
              <c:extLst>
                <c:ext xmlns:c15="http://schemas.microsoft.com/office/drawing/2012/chart" uri="{CE6537A1-D6FC-4f65-9D91-7224C49458BB}"/>
                <c:ext xmlns:c16="http://schemas.microsoft.com/office/drawing/2014/chart" uri="{C3380CC4-5D6E-409C-BE32-E72D297353CC}">
                  <c16:uniqueId val="{00000016-3386-4585-8DFF-9EC0528BA8AC}"/>
                </c:ext>
              </c:extLst>
            </c:dLbl>
            <c:dLbl>
              <c:idx val="5"/>
              <c:delete val="1"/>
              <c:extLst>
                <c:ext xmlns:c15="http://schemas.microsoft.com/office/drawing/2012/chart" uri="{CE6537A1-D6FC-4f65-9D91-7224C49458BB}"/>
                <c:ext xmlns:c16="http://schemas.microsoft.com/office/drawing/2014/chart" uri="{C3380CC4-5D6E-409C-BE32-E72D297353CC}">
                  <c16:uniqueId val="{00000017-3386-4585-8DFF-9EC0528BA8AC}"/>
                </c:ext>
              </c:extLst>
            </c:dLbl>
            <c:dLbl>
              <c:idx val="6"/>
              <c:delete val="1"/>
              <c:extLst>
                <c:ext xmlns:c15="http://schemas.microsoft.com/office/drawing/2012/chart" uri="{CE6537A1-D6FC-4f65-9D91-7224C49458BB}"/>
                <c:ext xmlns:c16="http://schemas.microsoft.com/office/drawing/2014/chart" uri="{C3380CC4-5D6E-409C-BE32-E72D297353CC}">
                  <c16:uniqueId val="{00000018-3386-4585-8DFF-9EC0528BA8AC}"/>
                </c:ext>
              </c:extLst>
            </c:dLbl>
            <c:dLbl>
              <c:idx val="7"/>
              <c:delete val="1"/>
              <c:extLst>
                <c:ext xmlns:c15="http://schemas.microsoft.com/office/drawing/2012/chart" uri="{CE6537A1-D6FC-4f65-9D91-7224C49458BB}"/>
                <c:ext xmlns:c16="http://schemas.microsoft.com/office/drawing/2014/chart" uri="{C3380CC4-5D6E-409C-BE32-E72D297353CC}">
                  <c16:uniqueId val="{00000019-3386-4585-8DFF-9EC0528BA8AC}"/>
                </c:ext>
              </c:extLst>
            </c:dLbl>
            <c:dLbl>
              <c:idx val="8"/>
              <c:delete val="1"/>
              <c:extLst>
                <c:ext xmlns:c15="http://schemas.microsoft.com/office/drawing/2012/chart" uri="{CE6537A1-D6FC-4f65-9D91-7224C49458BB}"/>
                <c:ext xmlns:c16="http://schemas.microsoft.com/office/drawing/2014/chart" uri="{C3380CC4-5D6E-409C-BE32-E72D297353CC}">
                  <c16:uniqueId val="{0000001A-3386-4585-8DFF-9EC0528BA8AC}"/>
                </c:ext>
              </c:extLst>
            </c:dLbl>
            <c:dLbl>
              <c:idx val="9"/>
              <c:delete val="1"/>
              <c:extLst>
                <c:ext xmlns:c15="http://schemas.microsoft.com/office/drawing/2012/chart" uri="{CE6537A1-D6FC-4f65-9D91-7224C49458BB}"/>
                <c:ext xmlns:c16="http://schemas.microsoft.com/office/drawing/2014/chart" uri="{C3380CC4-5D6E-409C-BE32-E72D297353CC}">
                  <c16:uniqueId val="{0000001B-3386-4585-8DFF-9EC0528BA8AC}"/>
                </c:ext>
              </c:extLst>
            </c:dLbl>
            <c:dLbl>
              <c:idx val="10"/>
              <c:delete val="1"/>
              <c:extLst>
                <c:ext xmlns:c15="http://schemas.microsoft.com/office/drawing/2012/chart" uri="{CE6537A1-D6FC-4f65-9D91-7224C49458BB}"/>
                <c:ext xmlns:c16="http://schemas.microsoft.com/office/drawing/2014/chart" uri="{C3380CC4-5D6E-409C-BE32-E72D297353CC}">
                  <c16:uniqueId val="{0000001C-3386-4585-8DFF-9EC0528BA8AC}"/>
                </c:ext>
              </c:extLst>
            </c:dLbl>
            <c:dLbl>
              <c:idx val="11"/>
              <c:delete val="1"/>
              <c:extLst>
                <c:ext xmlns:c15="http://schemas.microsoft.com/office/drawing/2012/chart" uri="{CE6537A1-D6FC-4f65-9D91-7224C49458BB}"/>
                <c:ext xmlns:c16="http://schemas.microsoft.com/office/drawing/2014/chart" uri="{C3380CC4-5D6E-409C-BE32-E72D297353CC}">
                  <c16:uniqueId val="{0000001D-3386-4585-8DFF-9EC0528BA8AC}"/>
                </c:ext>
              </c:extLst>
            </c:dLbl>
            <c:dLbl>
              <c:idx val="12"/>
              <c:delete val="1"/>
              <c:extLst>
                <c:ext xmlns:c15="http://schemas.microsoft.com/office/drawing/2012/chart" uri="{CE6537A1-D6FC-4f65-9D91-7224C49458BB}"/>
                <c:ext xmlns:c16="http://schemas.microsoft.com/office/drawing/2014/chart" uri="{C3380CC4-5D6E-409C-BE32-E72D297353CC}">
                  <c16:uniqueId val="{0000001E-3386-4585-8DFF-9EC0528BA8AC}"/>
                </c:ext>
              </c:extLst>
            </c:dLbl>
            <c:dLbl>
              <c:idx val="13"/>
              <c:delete val="1"/>
              <c:extLst>
                <c:ext xmlns:c15="http://schemas.microsoft.com/office/drawing/2012/chart" uri="{CE6537A1-D6FC-4f65-9D91-7224C49458BB}"/>
                <c:ext xmlns:c16="http://schemas.microsoft.com/office/drawing/2014/chart" uri="{C3380CC4-5D6E-409C-BE32-E72D297353CC}">
                  <c16:uniqueId val="{00000008-8CE3-44EB-A862-42500EFEAEA0}"/>
                </c:ext>
              </c:extLst>
            </c:dLbl>
            <c:dLbl>
              <c:idx val="14"/>
              <c:delete val="1"/>
              <c:extLst>
                <c:ext xmlns:c15="http://schemas.microsoft.com/office/drawing/2012/chart" uri="{CE6537A1-D6FC-4f65-9D91-7224C49458BB}"/>
                <c:ext xmlns:c16="http://schemas.microsoft.com/office/drawing/2014/chart" uri="{C3380CC4-5D6E-409C-BE32-E72D297353CC}">
                  <c16:uniqueId val="{0000001F-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14-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4-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4-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5-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3-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4-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0-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1-985C-43A3-8964-C79071A87427}"/>
                </c:ext>
              </c:extLst>
            </c:dLbl>
            <c:dLbl>
              <c:idx val="23"/>
              <c:layout>
                <c:manualLayout>
                  <c:x val="-2.0772238514174177E-2"/>
                  <c:y val="-3.366990111084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1-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1-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3-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2-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4-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1-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1-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3-7750-4B10-BC19-C241BB2EF2FD}"/>
                </c:ext>
              </c:extLst>
            </c:dLbl>
            <c:spPr>
              <a:noFill/>
              <a:ln>
                <a:noFill/>
              </a:ln>
              <a:effectLst/>
            </c:spPr>
            <c:txPr>
              <a:bodyPr wrap="square" lIns="38100" tIns="19050" rIns="38100" bIns="19050" anchor="ctr">
                <a:spAutoFit/>
              </a:bodyPr>
              <a:lstStyle/>
              <a:p>
                <a:pPr>
                  <a:defRPr sz="1200" b="1">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'3.3'!$A$14:$B$63</c15:sqref>
                  </c15:fullRef>
                </c:ext>
              </c:extLst>
              <c:f>'3.3'!$A$30:$B$63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'3.3'!$G$14:$G$63</c15:sqref>
                  </c15:fullRef>
                </c:ext>
              </c:extLst>
              <c:f>'3.3'!$G$30:$G$63</c:f>
              <c:numCache>
                <c:formatCode>#,##0.00</c:formatCode>
                <c:ptCount val="34"/>
                <c:pt idx="0">
                  <c:v>17.149999999999999</c:v>
                </c:pt>
                <c:pt idx="1">
                  <c:v>38.880000000000003</c:v>
                </c:pt>
                <c:pt idx="2">
                  <c:v>9.0299999999999994</c:v>
                </c:pt>
                <c:pt idx="3">
                  <c:v>2.99</c:v>
                </c:pt>
                <c:pt idx="4">
                  <c:v>15.95</c:v>
                </c:pt>
                <c:pt idx="5">
                  <c:v>18.36</c:v>
                </c:pt>
                <c:pt idx="6">
                  <c:v>7.6199999999999992</c:v>
                </c:pt>
                <c:pt idx="7">
                  <c:v>18.670000000000002</c:v>
                </c:pt>
                <c:pt idx="8">
                  <c:v>12.82</c:v>
                </c:pt>
                <c:pt idx="9">
                  <c:v>15.989999999999998</c:v>
                </c:pt>
                <c:pt idx="10">
                  <c:v>16.670000000000002</c:v>
                </c:pt>
                <c:pt idx="11">
                  <c:v>18.27</c:v>
                </c:pt>
                <c:pt idx="12">
                  <c:v>41.589999999999996</c:v>
                </c:pt>
                <c:pt idx="13">
                  <c:v>-1.21</c:v>
                </c:pt>
                <c:pt idx="14">
                  <c:v>15.34</c:v>
                </c:pt>
                <c:pt idx="15">
                  <c:v>24.919999999999998</c:v>
                </c:pt>
                <c:pt idx="16">
                  <c:v>11.55</c:v>
                </c:pt>
                <c:pt idx="17">
                  <c:v>26.18</c:v>
                </c:pt>
                <c:pt idx="18">
                  <c:v>5.59</c:v>
                </c:pt>
                <c:pt idx="19">
                  <c:v>-2.38</c:v>
                </c:pt>
                <c:pt idx="20">
                  <c:v>36.370000000000005</c:v>
                </c:pt>
                <c:pt idx="21">
                  <c:v>15.399999999999999</c:v>
                </c:pt>
                <c:pt idx="22">
                  <c:v>11.5</c:v>
                </c:pt>
                <c:pt idx="23">
                  <c:v>-2.63</c:v>
                </c:pt>
                <c:pt idx="24">
                  <c:v>13.72</c:v>
                </c:pt>
                <c:pt idx="25">
                  <c:v>14.816000000000001</c:v>
                </c:pt>
                <c:pt idx="26">
                  <c:v>13.76</c:v>
                </c:pt>
                <c:pt idx="27">
                  <c:v>8.85</c:v>
                </c:pt>
                <c:pt idx="28">
                  <c:v>16.940000000000001</c:v>
                </c:pt>
                <c:pt idx="29">
                  <c:v>20.439999999999998</c:v>
                </c:pt>
                <c:pt idx="30">
                  <c:v>10.200000000000001</c:v>
                </c:pt>
                <c:pt idx="31">
                  <c:v>20.010000000000005</c:v>
                </c:pt>
                <c:pt idx="32">
                  <c:v>19.457999999999998</c:v>
                </c:pt>
                <c:pt idx="33">
                  <c:v>16.795000000000002</c:v>
                </c:pt>
              </c:numCache>
            </c:numRef>
          </c:val>
          <c:extLst>
            <c:ext xmlns:c15="http://schemas.microsoft.com/office/drawing/2012/chart" uri="{02D57815-91ED-43cb-92C2-25804820EDAC}">
              <c15:categoryFilterExceptions>
                <c15:categoryFilterException>
                  <c15:sqref>'3.3'!$G$22</c15:sqref>
                  <c15:dLbl>
                    <c:idx val="-1"/>
                    <c:delete val="1"/>
                    <c:extLst>
                      <c:ext uri="{CE6537A1-D6FC-4f65-9D91-7224C49458BB}"/>
                      <c:ext xmlns:c16="http://schemas.microsoft.com/office/drawing/2014/chart" uri="{C3380CC4-5D6E-409C-BE32-E72D297353CC}">
                        <c16:uniqueId val="{0000000C-DC65-445A-80AF-223B66E99F02}"/>
                      </c:ext>
                    </c:extLst>
                  </c15:dLbl>
                </c15:categoryFilterException>
                <c15:categoryFilterException>
                  <c15:sqref>'3.3'!$G$23</c15:sqref>
                  <c15:dLbl>
                    <c:idx val="-1"/>
                    <c:delete val="1"/>
                    <c:extLst>
                      <c:ext uri="{CE6537A1-D6FC-4f65-9D91-7224C49458BB}"/>
                      <c:ext xmlns:c16="http://schemas.microsoft.com/office/drawing/2014/chart" uri="{C3380CC4-5D6E-409C-BE32-E72D297353CC}">
                        <c16:uniqueId val="{0000000D-DC65-445A-80AF-223B66E99F02}"/>
                      </c:ext>
                    </c:extLst>
                  </c15:dLbl>
                </c15:categoryFilterException>
                <c15:categoryFilterException>
                  <c15:sqref>'3.3'!$G$24</c15:sqref>
                  <c15:dLbl>
                    <c:idx val="-1"/>
                    <c:delete val="1"/>
                    <c:extLst>
                      <c:ext uri="{CE6537A1-D6FC-4f65-9D91-7224C49458BB}"/>
                      <c:ext xmlns:c16="http://schemas.microsoft.com/office/drawing/2014/chart" uri="{C3380CC4-5D6E-409C-BE32-E72D297353CC}">
                        <c16:uniqueId val="{0000000E-DC65-445A-80AF-223B66E99F02}"/>
                      </c:ext>
                    </c:extLst>
                  </c15:dLbl>
                </c15:categoryFilterException>
                <c15:categoryFilterException>
                  <c15:sqref>'3.3'!$G$25</c15:sqref>
                  <c15:dLbl>
                    <c:idx val="-1"/>
                    <c:delete val="1"/>
                    <c:extLst>
                      <c:ext uri="{CE6537A1-D6FC-4f65-9D91-7224C49458BB}"/>
                      <c:ext xmlns:c16="http://schemas.microsoft.com/office/drawing/2014/chart" uri="{C3380CC4-5D6E-409C-BE32-E72D297353CC}">
                        <c16:uniqueId val="{0000000F-DC65-445A-80AF-223B66E99F02}"/>
                      </c:ext>
                    </c:extLst>
                  </c15:dLbl>
                </c15:categoryFilterException>
                <c15:categoryFilterException>
                  <c15:sqref>'3.3'!$G$26</c15:sqref>
                  <c15:dLbl>
                    <c:idx val="-1"/>
                    <c:delete val="1"/>
                    <c:extLst>
                      <c:ext uri="{CE6537A1-D6FC-4f65-9D91-7224C49458BB}"/>
                      <c:ext xmlns:c16="http://schemas.microsoft.com/office/drawing/2014/chart" uri="{C3380CC4-5D6E-409C-BE32-E72D297353CC}">
                        <c16:uniqueId val="{00000010-DC65-445A-80AF-223B66E99F02}"/>
                      </c:ext>
                    </c:extLst>
                  </c15:dLbl>
                </c15:categoryFilterException>
                <c15:categoryFilterException>
                  <c15:sqref>'3.3'!$G$27</c15:sqref>
                  <c15:dLbl>
                    <c:idx val="-1"/>
                    <c:delete val="1"/>
                    <c:extLst>
                      <c:ext uri="{CE6537A1-D6FC-4f65-9D91-7224C49458BB}"/>
                      <c:ext xmlns:c16="http://schemas.microsoft.com/office/drawing/2014/chart" uri="{C3380CC4-5D6E-409C-BE32-E72D297353CC}">
                        <c16:uniqueId val="{00000011-DC65-445A-80AF-223B66E99F02}"/>
                      </c:ext>
                    </c:extLst>
                  </c15:dLbl>
                </c15:categoryFilterException>
                <c15:categoryFilterException>
                  <c15:sqref>'3.3'!$G$28</c15:sqref>
                  <c15:dLbl>
                    <c:idx val="-1"/>
                    <c:delete val="1"/>
                    <c:extLst>
                      <c:ext uri="{CE6537A1-D6FC-4f65-9D91-7224C49458BB}"/>
                      <c:ext xmlns:c16="http://schemas.microsoft.com/office/drawing/2014/chart" uri="{C3380CC4-5D6E-409C-BE32-E72D297353CC}">
                        <c16:uniqueId val="{00000012-DC65-445A-80AF-223B66E99F02}"/>
                      </c:ext>
                    </c:extLst>
                  </c15:dLbl>
                </c15:categoryFilterException>
                <c15:categoryFilterException>
                  <c15:sqref>'3.3'!$G$29</c15:sqref>
                  <c15:dLbl>
                    <c:idx val="-1"/>
                    <c:delete val="1"/>
                    <c:extLst>
                      <c:ext uri="{CE6537A1-D6FC-4f65-9D91-7224C49458BB}"/>
                      <c:ext xmlns:c16="http://schemas.microsoft.com/office/drawing/2014/chart" uri="{C3380CC4-5D6E-409C-BE32-E72D297353CC}">
                        <c16:uniqueId val="{00000013-DC65-445A-80AF-223B66E99F02}"/>
                      </c:ext>
                    </c:extLst>
                  </c15:dLbl>
                </c15:categoryFilterException>
              </c15:categoryFilterExceptions>
            </c:ext>
            <c:ext xmlns:c16="http://schemas.microsoft.com/office/drawing/2014/chart" uri="{C3380CC4-5D6E-409C-BE32-E72D297353CC}">
              <c16:uniqueId val="{00000003-7135-4CEF-B63F-7B7EB48BF336}"/>
            </c:ext>
          </c:extLst>
        </c:ser>
        <c:dLbls>
          <c:showLegendKey val="0"/>
          <c:showVal val="0"/>
          <c:showCatName val="0"/>
          <c:showSerName val="0"/>
          <c:showPercent val="0"/>
          <c:showBubbleSize val="0"/>
        </c:dLbls>
        <c:gapWidth val="55"/>
        <c:overlap val="100"/>
        <c:axId val="486517912"/>
        <c:axId val="486518304"/>
      </c:barChart>
      <c:lineChart>
        <c:grouping val="standard"/>
        <c:varyColors val="0"/>
        <c:ser>
          <c:idx val="2"/>
          <c:order val="2"/>
          <c:tx>
            <c:strRef>
              <c:f>'3.3'!$C$4:$C$5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E-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0D-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0F-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00-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10-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4-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11-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12-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0-C750-41D5-87AF-DFE5CBE5F4BB}"/>
                </c:ext>
              </c:extLst>
            </c:dLbl>
            <c:dLbl>
              <c:idx val="9"/>
              <c:delete val="1"/>
              <c:extLst>
                <c:ext xmlns:c15="http://schemas.microsoft.com/office/drawing/2012/chart" uri="{CE6537A1-D6FC-4f65-9D91-7224C49458BB}"/>
                <c:ext xmlns:c16="http://schemas.microsoft.com/office/drawing/2014/chart" uri="{C3380CC4-5D6E-409C-BE32-E72D297353CC}">
                  <c16:uniqueId val="{00000000-26B2-4AD2-A615-E65B0CAC3771}"/>
                </c:ext>
              </c:extLst>
            </c:dLbl>
            <c:dLbl>
              <c:idx val="10"/>
              <c:delete val="1"/>
              <c:extLst>
                <c:ext xmlns:c15="http://schemas.microsoft.com/office/drawing/2012/chart" uri="{CE6537A1-D6FC-4f65-9D91-7224C49458BB}"/>
                <c:ext xmlns:c16="http://schemas.microsoft.com/office/drawing/2014/chart" uri="{C3380CC4-5D6E-409C-BE32-E72D297353CC}">
                  <c16:uniqueId val="{0000000C-C3BA-432F-9F30-F8504776DAB2}"/>
                </c:ext>
              </c:extLst>
            </c:dLbl>
            <c:dLbl>
              <c:idx val="11"/>
              <c:delete val="1"/>
              <c:extLst>
                <c:ext xmlns:c15="http://schemas.microsoft.com/office/drawing/2012/chart" uri="{CE6537A1-D6FC-4f65-9D91-7224C49458BB}"/>
                <c:ext xmlns:c16="http://schemas.microsoft.com/office/drawing/2014/chart" uri="{C3380CC4-5D6E-409C-BE32-E72D297353CC}">
                  <c16:uniqueId val="{0000000C-2C01-4045-B743-43E2B3398FEF}"/>
                </c:ext>
              </c:extLst>
            </c:dLbl>
            <c:dLbl>
              <c:idx val="12"/>
              <c:delete val="1"/>
              <c:extLst>
                <c:ext xmlns:c15="http://schemas.microsoft.com/office/drawing/2012/chart" uri="{CE6537A1-D6FC-4f65-9D91-7224C49458BB}"/>
                <c:ext xmlns:c16="http://schemas.microsoft.com/office/drawing/2014/chart" uri="{C3380CC4-5D6E-409C-BE32-E72D297353CC}">
                  <c16:uniqueId val="{0000000C-58A4-413F-A56C-AF5B5E1AA6C9}"/>
                </c:ext>
              </c:extLst>
            </c:dLbl>
            <c:dLbl>
              <c:idx val="13"/>
              <c:delete val="1"/>
              <c:extLst>
                <c:ext xmlns:c15="http://schemas.microsoft.com/office/drawing/2012/chart" uri="{CE6537A1-D6FC-4f65-9D91-7224C49458BB}"/>
                <c:ext xmlns:c16="http://schemas.microsoft.com/office/drawing/2014/chart" uri="{C3380CC4-5D6E-409C-BE32-E72D297353CC}">
                  <c16:uniqueId val="{0000000D-4661-4DE3-9AE3-BEB6CD8533C7}"/>
                </c:ext>
              </c:extLst>
            </c:dLbl>
            <c:dLbl>
              <c:idx val="14"/>
              <c:delete val="1"/>
              <c:extLst>
                <c:ext xmlns:c15="http://schemas.microsoft.com/office/drawing/2012/chart" uri="{CE6537A1-D6FC-4f65-9D91-7224C49458BB}"/>
                <c:ext xmlns:c16="http://schemas.microsoft.com/office/drawing/2014/chart" uri="{C3380CC4-5D6E-409C-BE32-E72D297353CC}">
                  <c16:uniqueId val="{00000008-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09-75FA-464D-B7F7-86679D1E3521}"/>
                </c:ext>
              </c:extLst>
            </c:dLbl>
            <c:dLbl>
              <c:idx val="16"/>
              <c:delete val="1"/>
              <c:extLst>
                <c:ext xmlns:c15="http://schemas.microsoft.com/office/drawing/2012/chart" uri="{CE6537A1-D6FC-4f65-9D91-7224C49458BB}"/>
                <c:ext xmlns:c16="http://schemas.microsoft.com/office/drawing/2014/chart" uri="{C3380CC4-5D6E-409C-BE32-E72D297353CC}">
                  <c16:uniqueId val="{00000016-DD50-4D65-B5E3-D60333651AB9}"/>
                </c:ext>
              </c:extLst>
            </c:dLbl>
            <c:dLbl>
              <c:idx val="17"/>
              <c:delete val="1"/>
              <c:extLst>
                <c:ext xmlns:c15="http://schemas.microsoft.com/office/drawing/2012/chart" uri="{CE6537A1-D6FC-4f65-9D91-7224C49458BB}"/>
                <c:ext xmlns:c16="http://schemas.microsoft.com/office/drawing/2014/chart" uri="{C3380CC4-5D6E-409C-BE32-E72D297353CC}">
                  <c16:uniqueId val="{00000014-B2C3-42C4-BD7C-8D5BACDC40AF}"/>
                </c:ext>
              </c:extLst>
            </c:dLbl>
            <c:dLbl>
              <c:idx val="18"/>
              <c:delete val="1"/>
              <c:extLst>
                <c:ext xmlns:c15="http://schemas.microsoft.com/office/drawing/2012/chart" uri="{CE6537A1-D6FC-4f65-9D91-7224C49458BB}"/>
                <c:ext xmlns:c16="http://schemas.microsoft.com/office/drawing/2014/chart" uri="{C3380CC4-5D6E-409C-BE32-E72D297353CC}">
                  <c16:uniqueId val="{00000016-2240-46EA-870F-0C65642C2F88}"/>
                </c:ext>
              </c:extLst>
            </c:dLbl>
            <c:dLbl>
              <c:idx val="19"/>
              <c:delete val="1"/>
              <c:extLst>
                <c:ext xmlns:c15="http://schemas.microsoft.com/office/drawing/2012/chart" uri="{CE6537A1-D6FC-4f65-9D91-7224C49458BB}"/>
                <c:ext xmlns:c16="http://schemas.microsoft.com/office/drawing/2014/chart" uri="{C3380CC4-5D6E-409C-BE32-E72D297353CC}">
                  <c16:uniqueId val="{00000016-E132-40F1-A8D0-ED77B12FE91D}"/>
                </c:ext>
              </c:extLst>
            </c:dLbl>
            <c:dLbl>
              <c:idx val="20"/>
              <c:delete val="1"/>
              <c:extLst>
                <c:ext xmlns:c15="http://schemas.microsoft.com/office/drawing/2012/chart" uri="{CE6537A1-D6FC-4f65-9D91-7224C49458BB}"/>
                <c:ext xmlns:c16="http://schemas.microsoft.com/office/drawing/2014/chart" uri="{C3380CC4-5D6E-409C-BE32-E72D297353CC}">
                  <c16:uniqueId val="{00000021-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1-9CB1-4394-895A-35525C0426E0}"/>
                </c:ext>
              </c:extLst>
            </c:dLbl>
            <c:dLbl>
              <c:idx val="22"/>
              <c:delete val="1"/>
              <c:extLst>
                <c:ext xmlns:c15="http://schemas.microsoft.com/office/drawing/2012/chart" uri="{CE6537A1-D6FC-4f65-9D91-7224C49458BB}"/>
                <c:ext xmlns:c16="http://schemas.microsoft.com/office/drawing/2014/chart" uri="{C3380CC4-5D6E-409C-BE32-E72D297353CC}">
                  <c16:uniqueId val="{00000022-C0CF-4264-8936-E29CFD0B6FCA}"/>
                </c:ext>
              </c:extLst>
            </c:dLbl>
            <c:dLbl>
              <c:idx val="23"/>
              <c:delete val="1"/>
              <c:extLst>
                <c:ext xmlns:c15="http://schemas.microsoft.com/office/drawing/2012/chart" uri="{CE6537A1-D6FC-4f65-9D91-7224C49458BB}"/>
                <c:ext xmlns:c16="http://schemas.microsoft.com/office/drawing/2014/chart" uri="{C3380CC4-5D6E-409C-BE32-E72D297353CC}">
                  <c16:uniqueId val="{00000020-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0-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0-752C-4E22-96F5-909AD433DD20}"/>
                </c:ext>
              </c:extLst>
            </c:dLbl>
            <c:dLbl>
              <c:idx val="26"/>
              <c:delete val="1"/>
              <c:extLst>
                <c:ext xmlns:c15="http://schemas.microsoft.com/office/drawing/2012/chart" uri="{CE6537A1-D6FC-4f65-9D91-7224C49458BB}"/>
                <c:ext xmlns:c16="http://schemas.microsoft.com/office/drawing/2014/chart" uri="{C3380CC4-5D6E-409C-BE32-E72D297353CC}">
                  <c16:uniqueId val="{00000020-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1-87C7-4FAD-AA4B-AE0BEFC0F95E}"/>
                </c:ext>
              </c:extLst>
            </c:dLbl>
            <c:dLbl>
              <c:idx val="28"/>
              <c:delete val="1"/>
              <c:extLst>
                <c:ext xmlns:c15="http://schemas.microsoft.com/office/drawing/2012/chart" uri="{CE6537A1-D6FC-4f65-9D91-7224C49458BB}"/>
                <c:ext xmlns:c16="http://schemas.microsoft.com/office/drawing/2014/chart" uri="{C3380CC4-5D6E-409C-BE32-E72D297353CC}">
                  <c16:uniqueId val="{00000021-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9811-4214-9E94-6AB454351A33}"/>
                </c:ext>
              </c:extLst>
            </c:dLbl>
            <c:dLbl>
              <c:idx val="30"/>
              <c:delete val="1"/>
              <c:extLst>
                <c:ext xmlns:c15="http://schemas.microsoft.com/office/drawing/2012/chart" uri="{CE6537A1-D6FC-4f65-9D91-7224C49458BB}"/>
                <c:ext xmlns:c16="http://schemas.microsoft.com/office/drawing/2014/chart" uri="{C3380CC4-5D6E-409C-BE32-E72D297353CC}">
                  <c16:uniqueId val="{00000022-0C81-482E-9EB4-BA67FE6CB365}"/>
                </c:ext>
              </c:extLst>
            </c:dLbl>
            <c:dLbl>
              <c:idx val="31"/>
              <c:delete val="1"/>
              <c:extLst>
                <c:ext xmlns:c15="http://schemas.microsoft.com/office/drawing/2012/chart" uri="{CE6537A1-D6FC-4f65-9D91-7224C49458BB}"/>
                <c:ext xmlns:c16="http://schemas.microsoft.com/office/drawing/2014/chart" uri="{C3380CC4-5D6E-409C-BE32-E72D297353CC}">
                  <c16:uniqueId val="{00000020-1743-455A-8423-CED22719992D}"/>
                </c:ext>
              </c:extLst>
            </c:dLbl>
            <c:dLbl>
              <c:idx val="32"/>
              <c:delete val="1"/>
              <c:extLst>
                <c:ext xmlns:c15="http://schemas.microsoft.com/office/drawing/2012/chart" uri="{CE6537A1-D6FC-4f65-9D91-7224C49458BB}"/>
                <c:ext xmlns:c16="http://schemas.microsoft.com/office/drawing/2014/chart" uri="{C3380CC4-5D6E-409C-BE32-E72D297353CC}">
                  <c16:uniqueId val="{00000020-7750-4B10-BC19-C241BB2EF2FD}"/>
                </c:ext>
              </c:extLst>
            </c:dLbl>
            <c:dLbl>
              <c:idx val="33"/>
              <c:layout>
                <c:manualLayout>
                  <c:x val="-1.3196480938416423E-2"/>
                  <c:y val="-0.129292929292929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45A-477D-8FCE-FC45717F0A66}"/>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'3.3'!$A$14:$B$63</c15:sqref>
                  </c15:fullRef>
                </c:ext>
              </c:extLst>
              <c:f>'3.3'!$A$30:$B$63</c:f>
              <c:multiLvlStrCache>
                <c:ptCount val="34"/>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'3.3'!$C$14:$C$63</c15:sqref>
                  </c15:fullRef>
                </c:ext>
              </c:extLst>
              <c:f>'3.3'!$C$30:$C$63</c:f>
              <c:numCache>
                <c:formatCode>#,##0.00</c:formatCode>
                <c:ptCount val="34"/>
                <c:pt idx="0">
                  <c:v>36.909999999999997</c:v>
                </c:pt>
                <c:pt idx="1">
                  <c:v>58.290000000000006</c:v>
                </c:pt>
                <c:pt idx="2">
                  <c:v>27.869999999999997</c:v>
                </c:pt>
                <c:pt idx="3">
                  <c:v>21.800000000000004</c:v>
                </c:pt>
                <c:pt idx="4">
                  <c:v>31.22</c:v>
                </c:pt>
                <c:pt idx="5">
                  <c:v>35.53</c:v>
                </c:pt>
                <c:pt idx="6">
                  <c:v>24.57</c:v>
                </c:pt>
                <c:pt idx="7">
                  <c:v>35.25</c:v>
                </c:pt>
                <c:pt idx="8">
                  <c:v>27.97</c:v>
                </c:pt>
                <c:pt idx="9">
                  <c:v>36.819999999999993</c:v>
                </c:pt>
                <c:pt idx="10">
                  <c:v>37.86</c:v>
                </c:pt>
                <c:pt idx="11">
                  <c:v>43.769999999999996</c:v>
                </c:pt>
                <c:pt idx="12">
                  <c:v>59.309999999999995</c:v>
                </c:pt>
                <c:pt idx="13">
                  <c:v>17.189999999999998</c:v>
                </c:pt>
                <c:pt idx="14">
                  <c:v>40.75</c:v>
                </c:pt>
                <c:pt idx="15">
                  <c:v>44.59</c:v>
                </c:pt>
                <c:pt idx="16">
                  <c:v>27.71</c:v>
                </c:pt>
                <c:pt idx="17">
                  <c:v>42.24</c:v>
                </c:pt>
                <c:pt idx="18">
                  <c:v>21.72</c:v>
                </c:pt>
                <c:pt idx="19">
                  <c:v>14.670000000000002</c:v>
                </c:pt>
                <c:pt idx="20">
                  <c:v>81.180000000000007</c:v>
                </c:pt>
                <c:pt idx="21">
                  <c:v>29.88</c:v>
                </c:pt>
                <c:pt idx="22">
                  <c:v>26.15</c:v>
                </c:pt>
                <c:pt idx="23">
                  <c:v>14.75</c:v>
                </c:pt>
                <c:pt idx="24">
                  <c:v>34.61</c:v>
                </c:pt>
                <c:pt idx="25">
                  <c:v>34.387999999999998</c:v>
                </c:pt>
                <c:pt idx="26">
                  <c:v>47.47</c:v>
                </c:pt>
                <c:pt idx="27">
                  <c:v>25.950000000000003</c:v>
                </c:pt>
                <c:pt idx="28">
                  <c:v>36.180000000000007</c:v>
                </c:pt>
                <c:pt idx="29">
                  <c:v>39.369999999999997</c:v>
                </c:pt>
                <c:pt idx="30">
                  <c:v>27.380000000000003</c:v>
                </c:pt>
                <c:pt idx="31">
                  <c:v>27.520000000000007</c:v>
                </c:pt>
                <c:pt idx="32">
                  <c:v>42.177</c:v>
                </c:pt>
                <c:pt idx="33">
                  <c:v>29.855000000000004</c:v>
                </c:pt>
              </c:numCache>
            </c:numRef>
          </c:val>
          <c:smooth val="0"/>
          <c:extLst>
            <c:ext xmlns:c15="http://schemas.microsoft.com/office/drawing/2012/chart" uri="{02D57815-91ED-43cb-92C2-25804820EDAC}">
              <c15:categoryFilterExceptions>
                <c15:categoryFilterException>
                  <c15:sqref>'3.3'!$C$18</c15:sqref>
                  <c15:dLbl>
                    <c:idx val="-1"/>
                    <c:delete val="1"/>
                    <c:extLst>
                      <c:ext uri="{CE6537A1-D6FC-4f65-9D91-7224C49458BB}"/>
                      <c:ext xmlns:c16="http://schemas.microsoft.com/office/drawing/2014/chart" uri="{C3380CC4-5D6E-409C-BE32-E72D297353CC}">
                        <c16:uniqueId val="{00000014-DC65-445A-80AF-223B66E99F02}"/>
                      </c:ext>
                    </c:extLst>
                  </c15:dLbl>
                </c15:categoryFilterException>
                <c15:categoryFilterException>
                  <c15:sqref>'3.3'!$C$19</c15:sqref>
                  <c15:dLbl>
                    <c:idx val="-1"/>
                    <c:delete val="1"/>
                    <c:extLst>
                      <c:ext uri="{CE6537A1-D6FC-4f65-9D91-7224C49458BB}"/>
                      <c:ext xmlns:c16="http://schemas.microsoft.com/office/drawing/2014/chart" uri="{C3380CC4-5D6E-409C-BE32-E72D297353CC}">
                        <c16:uniqueId val="{00000015-DC65-445A-80AF-223B66E99F02}"/>
                      </c:ext>
                    </c:extLst>
                  </c15:dLbl>
                </c15:categoryFilterException>
                <c15:categoryFilterException>
                  <c15:sqref>'3.3'!$C$20</c15:sqref>
                  <c15:dLbl>
                    <c:idx val="-1"/>
                    <c:delete val="1"/>
                    <c:extLst>
                      <c:ext uri="{CE6537A1-D6FC-4f65-9D91-7224C49458BB}"/>
                      <c:ext xmlns:c16="http://schemas.microsoft.com/office/drawing/2014/chart" uri="{C3380CC4-5D6E-409C-BE32-E72D297353CC}">
                        <c16:uniqueId val="{00000016-DC65-445A-80AF-223B66E99F02}"/>
                      </c:ext>
                    </c:extLst>
                  </c15:dLbl>
                </c15:categoryFilterException>
                <c15:categoryFilterException>
                  <c15:sqref>'3.3'!$C$21</c15:sqref>
                  <c15:dLbl>
                    <c:idx val="-1"/>
                    <c:delete val="1"/>
                    <c:extLst>
                      <c:ext uri="{CE6537A1-D6FC-4f65-9D91-7224C49458BB}"/>
                      <c:ext xmlns:c16="http://schemas.microsoft.com/office/drawing/2014/chart" uri="{C3380CC4-5D6E-409C-BE32-E72D297353CC}">
                        <c16:uniqueId val="{00000017-DC65-445A-80AF-223B66E99F02}"/>
                      </c:ext>
                    </c:extLst>
                  </c15:dLbl>
                </c15:categoryFilterException>
                <c15:categoryFilterException>
                  <c15:sqref>'3.3'!$C$22</c15:sqref>
                  <c15:dLbl>
                    <c:idx val="-1"/>
                    <c:delete val="1"/>
                    <c:extLst>
                      <c:ext uri="{CE6537A1-D6FC-4f65-9D91-7224C49458BB}"/>
                      <c:ext xmlns:c16="http://schemas.microsoft.com/office/drawing/2014/chart" uri="{C3380CC4-5D6E-409C-BE32-E72D297353CC}">
                        <c16:uniqueId val="{00000018-DC65-445A-80AF-223B66E99F02}"/>
                      </c:ext>
                    </c:extLst>
                  </c15:dLbl>
                </c15:categoryFilterException>
                <c15:categoryFilterException>
                  <c15:sqref>'3.3'!$C$23</c15:sqref>
                  <c15:dLbl>
                    <c:idx val="-1"/>
                    <c:delete val="1"/>
                    <c:extLst>
                      <c:ext uri="{CE6537A1-D6FC-4f65-9D91-7224C49458BB}"/>
                      <c:ext xmlns:c16="http://schemas.microsoft.com/office/drawing/2014/chart" uri="{C3380CC4-5D6E-409C-BE32-E72D297353CC}">
                        <c16:uniqueId val="{00000019-DC65-445A-80AF-223B66E99F02}"/>
                      </c:ext>
                    </c:extLst>
                  </c15:dLbl>
                </c15:categoryFilterException>
                <c15:categoryFilterException>
                  <c15:sqref>'3.3'!$C$24</c15:sqref>
                  <c15:dLbl>
                    <c:idx val="-1"/>
                    <c:delete val="1"/>
                    <c:extLst>
                      <c:ext uri="{CE6537A1-D6FC-4f65-9D91-7224C49458BB}"/>
                      <c:ext xmlns:c16="http://schemas.microsoft.com/office/drawing/2014/chart" uri="{C3380CC4-5D6E-409C-BE32-E72D297353CC}">
                        <c16:uniqueId val="{0000001A-DC65-445A-80AF-223B66E99F02}"/>
                      </c:ext>
                    </c:extLst>
                  </c15:dLbl>
                </c15:categoryFilterException>
                <c15:categoryFilterException>
                  <c15:sqref>'3.3'!$C$25</c15:sqref>
                  <c15:dLbl>
                    <c:idx val="-1"/>
                    <c:delete val="1"/>
                    <c:extLst>
                      <c:ext uri="{CE6537A1-D6FC-4f65-9D91-7224C49458BB}"/>
                      <c:ext xmlns:c16="http://schemas.microsoft.com/office/drawing/2014/chart" uri="{C3380CC4-5D6E-409C-BE32-E72D297353CC}">
                        <c16:uniqueId val="{0000001B-DC65-445A-80AF-223B66E99F02}"/>
                      </c:ext>
                    </c:extLst>
                  </c15:dLbl>
                </c15:categoryFilterException>
                <c15:categoryFilterException>
                  <c15:sqref>'3.3'!$C$26</c15:sqref>
                  <c15:dLbl>
                    <c:idx val="-1"/>
                    <c:delete val="1"/>
                    <c:extLst>
                      <c:ext uri="{CE6537A1-D6FC-4f65-9D91-7224C49458BB}"/>
                      <c:ext xmlns:c16="http://schemas.microsoft.com/office/drawing/2014/chart" uri="{C3380CC4-5D6E-409C-BE32-E72D297353CC}">
                        <c16:uniqueId val="{0000001C-DC65-445A-80AF-223B66E99F02}"/>
                      </c:ext>
                    </c:extLst>
                  </c15:dLbl>
                </c15:categoryFilterException>
                <c15:categoryFilterException>
                  <c15:sqref>'3.3'!$C$27</c15:sqref>
                  <c15:dLbl>
                    <c:idx val="-1"/>
                    <c:delete val="1"/>
                    <c:extLst>
                      <c:ext uri="{CE6537A1-D6FC-4f65-9D91-7224C49458BB}"/>
                      <c:ext xmlns:c16="http://schemas.microsoft.com/office/drawing/2014/chart" uri="{C3380CC4-5D6E-409C-BE32-E72D297353CC}">
                        <c16:uniqueId val="{0000001D-DC65-445A-80AF-223B66E99F02}"/>
                      </c:ext>
                    </c:extLst>
                  </c15:dLbl>
                </c15:categoryFilterException>
                <c15:categoryFilterException>
                  <c15:sqref>'3.3'!$C$28</c15:sqref>
                  <c15:dLbl>
                    <c:idx val="-1"/>
                    <c:delete val="1"/>
                    <c:extLst>
                      <c:ext uri="{CE6537A1-D6FC-4f65-9D91-7224C49458BB}"/>
                      <c:ext xmlns:c16="http://schemas.microsoft.com/office/drawing/2014/chart" uri="{C3380CC4-5D6E-409C-BE32-E72D297353CC}">
                        <c16:uniqueId val="{0000001E-DC65-445A-80AF-223B66E99F02}"/>
                      </c:ext>
                    </c:extLst>
                  </c15:dLbl>
                </c15:categoryFilterException>
                <c15:categoryFilterException>
                  <c15:sqref>'3.3'!$C$29</c15:sqref>
                  <c15:dLbl>
                    <c:idx val="-1"/>
                    <c:delete val="1"/>
                    <c:extLst>
                      <c:ext uri="{CE6537A1-D6FC-4f65-9D91-7224C49458BB}"/>
                      <c:ext xmlns:c16="http://schemas.microsoft.com/office/drawing/2014/chart" uri="{C3380CC4-5D6E-409C-BE32-E72D297353CC}">
                        <c16:uniqueId val="{0000001F-DC65-445A-80AF-223B66E99F02}"/>
                      </c:ext>
                    </c:extLst>
                  </c15:dLbl>
                </c15:categoryFilterException>
              </c15:categoryFilterExceptions>
            </c:ext>
            <c:ext xmlns:c16="http://schemas.microsoft.com/office/drawing/2014/chart" uri="{C3380CC4-5D6E-409C-BE32-E72D297353CC}">
              <c16:uniqueId val="{00000005-7135-4CEF-B63F-7B7EB48BF336}"/>
            </c:ext>
          </c:extLst>
        </c:ser>
        <c:dLbls>
          <c:showLegendKey val="0"/>
          <c:showVal val="0"/>
          <c:showCatName val="0"/>
          <c:showSerName val="0"/>
          <c:showPercent val="0"/>
          <c:showBubbleSize val="0"/>
        </c:dLbls>
        <c:marker val="1"/>
        <c:smooth val="0"/>
        <c:axId val="486517912"/>
        <c:axId val="486518304"/>
      </c:lineChart>
      <c:catAx>
        <c:axId val="486517912"/>
        <c:scaling>
          <c:orientation val="minMax"/>
        </c:scaling>
        <c:delete val="0"/>
        <c:axPos val="b"/>
        <c:numFmt formatCode="General" sourceLinked="0"/>
        <c:majorTickMark val="none"/>
        <c:minorTickMark val="none"/>
        <c:tickLblPos val="low"/>
        <c:txPr>
          <a:bodyPr/>
          <a:lstStyle/>
          <a:p>
            <a:pPr>
              <a:defRPr sz="1000" b="0" baseline="0">
                <a:latin typeface="Geomanist" panose="02000503000000020004" pitchFamily="50" charset="0"/>
              </a:defRPr>
            </a:pPr>
            <a:endParaRPr lang="en-US"/>
          </a:p>
        </c:txPr>
        <c:crossAx val="486518304"/>
        <c:crosses val="autoZero"/>
        <c:auto val="1"/>
        <c:lblAlgn val="ctr"/>
        <c:lblOffset val="100"/>
        <c:noMultiLvlLbl val="0"/>
      </c:catAx>
      <c:valAx>
        <c:axId val="486518304"/>
        <c:scaling>
          <c:orientation val="minMax"/>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3.8755839630993357E-3"/>
              <c:y val="0.36279615836655826"/>
            </c:manualLayout>
          </c:layout>
          <c:overlay val="0"/>
        </c:title>
        <c:numFmt formatCode="#,##0.00" sourceLinked="1"/>
        <c:majorTickMark val="none"/>
        <c:minorTickMark val="none"/>
        <c:tickLblPos val="nextTo"/>
        <c:txPr>
          <a:bodyPr/>
          <a:lstStyle/>
          <a:p>
            <a:pPr>
              <a:defRPr sz="1100" b="0" baseline="0">
                <a:latin typeface="Geomanist" panose="02000503000000020004" pitchFamily="50" charset="0"/>
              </a:defRPr>
            </a:pPr>
            <a:endParaRPr lang="en-US"/>
          </a:p>
        </c:txPr>
        <c:crossAx val="486517912"/>
        <c:crosses val="autoZero"/>
        <c:crossBetween val="between"/>
      </c:valAx>
    </c:plotArea>
    <c:legend>
      <c:legendPos val="r"/>
      <c:layout>
        <c:manualLayout>
          <c:xMode val="edge"/>
          <c:yMode val="edge"/>
          <c:x val="0.22084020308567037"/>
          <c:y val="0.94087982677597659"/>
          <c:w val="0.54316980235549039"/>
          <c:h val="4.2508332855004743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txPr>
    </c:title>
    <c:autoTitleDeleted val="0"/>
    <c:plotArea>
      <c:layout>
        <c:manualLayout>
          <c:layoutTarget val="inner"/>
          <c:xMode val="edge"/>
          <c:yMode val="edge"/>
          <c:x val="8.2756136421363757E-2"/>
          <c:y val="8.9105105105105109E-2"/>
          <c:w val="0.90345937146419741"/>
          <c:h val="0.74561345740873297"/>
        </c:manualLayout>
      </c:layout>
      <c:barChart>
        <c:barDir val="col"/>
        <c:grouping val="stacked"/>
        <c:varyColors val="0"/>
        <c:ser>
          <c:idx val="1"/>
          <c:order val="1"/>
          <c:tx>
            <c:strRef>
              <c:f>'4.1'!$D$4</c:f>
              <c:strCache>
                <c:ptCount val="1"/>
                <c:pt idx="0">
                  <c:v>Detached</c:v>
                </c:pt>
              </c:strCache>
            </c:strRef>
          </c:tx>
          <c:spPr>
            <a:solidFill>
              <a:schemeClr val="tx1">
                <a:lumMod val="50000"/>
                <a:lumOff val="50000"/>
              </a:schemeClr>
            </a:solidFill>
            <a:ln>
              <a:solidFill>
                <a:schemeClr val="tx1">
                  <a:lumMod val="50000"/>
                  <a:lumOff val="50000"/>
                </a:schemeClr>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'4.1'!$D$5:$D$46</c:f>
              <c:numCache>
                <c:formatCode>#,##0</c:formatCode>
                <c:ptCount val="42"/>
                <c:pt idx="0">
                  <c:v>44</c:v>
                </c:pt>
                <c:pt idx="1">
                  <c:v>55</c:v>
                </c:pt>
                <c:pt idx="2">
                  <c:v>31</c:v>
                </c:pt>
                <c:pt idx="3">
                  <c:v>17</c:v>
                </c:pt>
                <c:pt idx="4">
                  <c:v>41</c:v>
                </c:pt>
                <c:pt idx="5">
                  <c:v>40</c:v>
                </c:pt>
                <c:pt idx="6">
                  <c:v>55</c:v>
                </c:pt>
                <c:pt idx="7">
                  <c:v>46</c:v>
                </c:pt>
                <c:pt idx="8">
                  <c:v>36</c:v>
                </c:pt>
                <c:pt idx="9">
                  <c:v>39</c:v>
                </c:pt>
                <c:pt idx="10">
                  <c:v>48</c:v>
                </c:pt>
                <c:pt idx="11">
                  <c:v>58</c:v>
                </c:pt>
                <c:pt idx="12">
                  <c:v>47</c:v>
                </c:pt>
                <c:pt idx="13">
                  <c:v>43</c:v>
                </c:pt>
                <c:pt idx="14">
                  <c:v>63</c:v>
                </c:pt>
                <c:pt idx="15">
                  <c:v>73</c:v>
                </c:pt>
                <c:pt idx="16">
                  <c:v>61</c:v>
                </c:pt>
                <c:pt idx="17">
                  <c:v>61</c:v>
                </c:pt>
                <c:pt idx="18">
                  <c:v>58</c:v>
                </c:pt>
                <c:pt idx="19">
                  <c:v>50</c:v>
                </c:pt>
                <c:pt idx="20">
                  <c:v>23</c:v>
                </c:pt>
                <c:pt idx="21">
                  <c:v>50</c:v>
                </c:pt>
                <c:pt idx="22">
                  <c:v>98</c:v>
                </c:pt>
                <c:pt idx="23">
                  <c:v>70</c:v>
                </c:pt>
                <c:pt idx="24">
                  <c:v>68</c:v>
                </c:pt>
                <c:pt idx="25">
                  <c:v>69</c:v>
                </c:pt>
                <c:pt idx="26">
                  <c:v>83</c:v>
                </c:pt>
                <c:pt idx="27">
                  <c:v>81</c:v>
                </c:pt>
                <c:pt idx="28">
                  <c:v>82</c:v>
                </c:pt>
                <c:pt idx="29">
                  <c:v>71</c:v>
                </c:pt>
                <c:pt idx="30">
                  <c:v>79</c:v>
                </c:pt>
                <c:pt idx="31">
                  <c:v>86</c:v>
                </c:pt>
                <c:pt idx="32">
                  <c:v>77</c:v>
                </c:pt>
                <c:pt idx="33">
                  <c:v>65</c:v>
                </c:pt>
                <c:pt idx="34">
                  <c:v>59</c:v>
                </c:pt>
                <c:pt idx="35">
                  <c:v>86</c:v>
                </c:pt>
                <c:pt idx="36">
                  <c:v>45</c:v>
                </c:pt>
                <c:pt idx="37">
                  <c:v>74</c:v>
                </c:pt>
                <c:pt idx="38">
                  <c:v>82</c:v>
                </c:pt>
                <c:pt idx="39">
                  <c:v>78</c:v>
                </c:pt>
                <c:pt idx="40">
                  <c:v>60</c:v>
                </c:pt>
                <c:pt idx="41">
                  <c:v>88</c:v>
                </c:pt>
              </c:numCache>
            </c:numRef>
          </c:val>
          <c:extLst>
            <c:ext xmlns:c16="http://schemas.microsoft.com/office/drawing/2014/chart" uri="{C3380CC4-5D6E-409C-BE32-E72D297353CC}">
              <c16:uniqueId val="{00000000-BD0C-4EC8-8D5A-C82D33B16B91}"/>
            </c:ext>
          </c:extLst>
        </c:ser>
        <c:ser>
          <c:idx val="2"/>
          <c:order val="2"/>
          <c:tx>
            <c:strRef>
              <c:f>'4.1'!$E$4</c:f>
              <c:strCache>
                <c:ptCount val="1"/>
                <c:pt idx="0">
                  <c:v>Semi-Detached</c:v>
                </c:pt>
              </c:strCache>
            </c:strRef>
          </c:tx>
          <c:spPr>
            <a:solidFill>
              <a:srgbClr val="EEE8B5"/>
            </a:solidFill>
            <a:ln>
              <a:solidFill>
                <a:srgbClr val="EEE8B5"/>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'4.1'!$E$5:$E$46</c:f>
              <c:numCache>
                <c:formatCode>#,##0</c:formatCode>
                <c:ptCount val="42"/>
                <c:pt idx="0">
                  <c:v>24</c:v>
                </c:pt>
                <c:pt idx="1">
                  <c:v>33</c:v>
                </c:pt>
                <c:pt idx="2">
                  <c:v>10</c:v>
                </c:pt>
                <c:pt idx="3">
                  <c:v>6</c:v>
                </c:pt>
                <c:pt idx="4">
                  <c:v>27</c:v>
                </c:pt>
                <c:pt idx="5">
                  <c:v>14</c:v>
                </c:pt>
                <c:pt idx="6">
                  <c:v>23</c:v>
                </c:pt>
                <c:pt idx="7">
                  <c:v>22</c:v>
                </c:pt>
                <c:pt idx="8">
                  <c:v>18</c:v>
                </c:pt>
                <c:pt idx="9">
                  <c:v>11</c:v>
                </c:pt>
                <c:pt idx="10">
                  <c:v>9</c:v>
                </c:pt>
                <c:pt idx="11">
                  <c:v>10</c:v>
                </c:pt>
                <c:pt idx="12">
                  <c:v>15</c:v>
                </c:pt>
                <c:pt idx="13">
                  <c:v>18</c:v>
                </c:pt>
                <c:pt idx="14">
                  <c:v>25</c:v>
                </c:pt>
                <c:pt idx="15">
                  <c:v>20</c:v>
                </c:pt>
                <c:pt idx="16">
                  <c:v>23</c:v>
                </c:pt>
                <c:pt idx="17">
                  <c:v>24</c:v>
                </c:pt>
                <c:pt idx="18">
                  <c:v>18</c:v>
                </c:pt>
                <c:pt idx="19">
                  <c:v>27</c:v>
                </c:pt>
                <c:pt idx="20">
                  <c:v>25</c:v>
                </c:pt>
                <c:pt idx="21">
                  <c:v>30</c:v>
                </c:pt>
                <c:pt idx="22">
                  <c:v>35</c:v>
                </c:pt>
                <c:pt idx="23">
                  <c:v>26</c:v>
                </c:pt>
                <c:pt idx="24">
                  <c:v>23</c:v>
                </c:pt>
                <c:pt idx="25">
                  <c:v>21</c:v>
                </c:pt>
                <c:pt idx="26">
                  <c:v>28</c:v>
                </c:pt>
                <c:pt idx="27">
                  <c:v>15</c:v>
                </c:pt>
                <c:pt idx="28">
                  <c:v>16</c:v>
                </c:pt>
                <c:pt idx="29">
                  <c:v>24</c:v>
                </c:pt>
                <c:pt idx="30">
                  <c:v>23</c:v>
                </c:pt>
                <c:pt idx="31">
                  <c:v>17</c:v>
                </c:pt>
                <c:pt idx="32">
                  <c:v>13</c:v>
                </c:pt>
                <c:pt idx="33">
                  <c:v>27</c:v>
                </c:pt>
                <c:pt idx="34">
                  <c:v>20</c:v>
                </c:pt>
                <c:pt idx="35">
                  <c:v>20</c:v>
                </c:pt>
                <c:pt idx="36">
                  <c:v>14</c:v>
                </c:pt>
                <c:pt idx="37">
                  <c:v>23</c:v>
                </c:pt>
                <c:pt idx="38">
                  <c:v>34</c:v>
                </c:pt>
                <c:pt idx="39">
                  <c:v>33</c:v>
                </c:pt>
                <c:pt idx="40">
                  <c:v>19</c:v>
                </c:pt>
                <c:pt idx="41">
                  <c:v>27</c:v>
                </c:pt>
              </c:numCache>
            </c:numRef>
          </c:val>
          <c:extLst>
            <c:ext xmlns:c16="http://schemas.microsoft.com/office/drawing/2014/chart" uri="{C3380CC4-5D6E-409C-BE32-E72D297353CC}">
              <c16:uniqueId val="{00000001-BD0C-4EC8-8D5A-C82D33B16B91}"/>
            </c:ext>
          </c:extLst>
        </c:ser>
        <c:ser>
          <c:idx val="3"/>
          <c:order val="3"/>
          <c:tx>
            <c:strRef>
              <c:f>'4.1'!$F$4</c:f>
              <c:strCache>
                <c:ptCount val="1"/>
                <c:pt idx="0">
                  <c:v>Terrace</c:v>
                </c:pt>
              </c:strCache>
            </c:strRef>
          </c:tx>
          <c:spPr>
            <a:solidFill>
              <a:srgbClr val="D4C029"/>
            </a:solidFill>
            <a:ln>
              <a:solidFill>
                <a:srgbClr val="D4C029"/>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'4.1'!$F$5:$F$46</c:f>
              <c:numCache>
                <c:formatCode>#,##0</c:formatCode>
                <c:ptCount val="42"/>
                <c:pt idx="0">
                  <c:v>25</c:v>
                </c:pt>
                <c:pt idx="1">
                  <c:v>23</c:v>
                </c:pt>
                <c:pt idx="2">
                  <c:v>18</c:v>
                </c:pt>
                <c:pt idx="3">
                  <c:v>10</c:v>
                </c:pt>
                <c:pt idx="4">
                  <c:v>21</c:v>
                </c:pt>
                <c:pt idx="5">
                  <c:v>16</c:v>
                </c:pt>
                <c:pt idx="6">
                  <c:v>9</c:v>
                </c:pt>
                <c:pt idx="7">
                  <c:v>21</c:v>
                </c:pt>
                <c:pt idx="8">
                  <c:v>23</c:v>
                </c:pt>
                <c:pt idx="9">
                  <c:v>11</c:v>
                </c:pt>
                <c:pt idx="10">
                  <c:v>30</c:v>
                </c:pt>
                <c:pt idx="11">
                  <c:v>20</c:v>
                </c:pt>
                <c:pt idx="12">
                  <c:v>20</c:v>
                </c:pt>
                <c:pt idx="13">
                  <c:v>18</c:v>
                </c:pt>
                <c:pt idx="14">
                  <c:v>18</c:v>
                </c:pt>
                <c:pt idx="15">
                  <c:v>25</c:v>
                </c:pt>
                <c:pt idx="16">
                  <c:v>25</c:v>
                </c:pt>
                <c:pt idx="17">
                  <c:v>30</c:v>
                </c:pt>
                <c:pt idx="18">
                  <c:v>20</c:v>
                </c:pt>
                <c:pt idx="19">
                  <c:v>21</c:v>
                </c:pt>
                <c:pt idx="20">
                  <c:v>14</c:v>
                </c:pt>
                <c:pt idx="21">
                  <c:v>19</c:v>
                </c:pt>
                <c:pt idx="22">
                  <c:v>31</c:v>
                </c:pt>
                <c:pt idx="23">
                  <c:v>24</c:v>
                </c:pt>
                <c:pt idx="24">
                  <c:v>9</c:v>
                </c:pt>
                <c:pt idx="25">
                  <c:v>7</c:v>
                </c:pt>
                <c:pt idx="26">
                  <c:v>15</c:v>
                </c:pt>
                <c:pt idx="27">
                  <c:v>24</c:v>
                </c:pt>
                <c:pt idx="28">
                  <c:v>22</c:v>
                </c:pt>
                <c:pt idx="29">
                  <c:v>25</c:v>
                </c:pt>
                <c:pt idx="30">
                  <c:v>31</c:v>
                </c:pt>
                <c:pt idx="31">
                  <c:v>24</c:v>
                </c:pt>
                <c:pt idx="32">
                  <c:v>26</c:v>
                </c:pt>
                <c:pt idx="33">
                  <c:v>33</c:v>
                </c:pt>
                <c:pt idx="34">
                  <c:v>18</c:v>
                </c:pt>
                <c:pt idx="35">
                  <c:v>28</c:v>
                </c:pt>
                <c:pt idx="36">
                  <c:v>20</c:v>
                </c:pt>
                <c:pt idx="37">
                  <c:v>26</c:v>
                </c:pt>
                <c:pt idx="38">
                  <c:v>13</c:v>
                </c:pt>
                <c:pt idx="39">
                  <c:v>29</c:v>
                </c:pt>
                <c:pt idx="40">
                  <c:v>17</c:v>
                </c:pt>
                <c:pt idx="41">
                  <c:v>18</c:v>
                </c:pt>
              </c:numCache>
            </c:numRef>
          </c:val>
          <c:extLst>
            <c:ext xmlns:c16="http://schemas.microsoft.com/office/drawing/2014/chart" uri="{C3380CC4-5D6E-409C-BE32-E72D297353CC}">
              <c16:uniqueId val="{00000002-BD0C-4EC8-8D5A-C82D33B16B91}"/>
            </c:ext>
          </c:extLst>
        </c:ser>
        <c:ser>
          <c:idx val="4"/>
          <c:order val="4"/>
          <c:tx>
            <c:strRef>
              <c:f>'4.1'!$G$4</c:f>
              <c:strCache>
                <c:ptCount val="1"/>
                <c:pt idx="0">
                  <c:v>Apartment</c:v>
                </c:pt>
              </c:strCache>
            </c:strRef>
          </c:tx>
          <c:spPr>
            <a:solidFill>
              <a:srgbClr val="509D93"/>
            </a:solidFill>
            <a:ln>
              <a:solidFill>
                <a:srgbClr val="509D93"/>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'4.1'!$G$5:$G$46</c:f>
              <c:numCache>
                <c:formatCode>#,##0</c:formatCode>
                <c:ptCount val="42"/>
                <c:pt idx="0">
                  <c:v>38</c:v>
                </c:pt>
                <c:pt idx="1">
                  <c:v>38</c:v>
                </c:pt>
                <c:pt idx="2">
                  <c:v>9</c:v>
                </c:pt>
                <c:pt idx="3">
                  <c:v>6</c:v>
                </c:pt>
                <c:pt idx="4">
                  <c:v>6</c:v>
                </c:pt>
                <c:pt idx="5">
                  <c:v>3</c:v>
                </c:pt>
                <c:pt idx="6">
                  <c:v>7</c:v>
                </c:pt>
                <c:pt idx="7">
                  <c:v>11</c:v>
                </c:pt>
                <c:pt idx="8">
                  <c:v>6</c:v>
                </c:pt>
                <c:pt idx="9">
                  <c:v>10</c:v>
                </c:pt>
                <c:pt idx="10">
                  <c:v>14</c:v>
                </c:pt>
                <c:pt idx="11">
                  <c:v>8</c:v>
                </c:pt>
                <c:pt idx="12">
                  <c:v>6</c:v>
                </c:pt>
                <c:pt idx="13">
                  <c:v>4</c:v>
                </c:pt>
                <c:pt idx="14">
                  <c:v>3</c:v>
                </c:pt>
                <c:pt idx="15">
                  <c:v>10</c:v>
                </c:pt>
                <c:pt idx="16">
                  <c:v>6</c:v>
                </c:pt>
                <c:pt idx="17">
                  <c:v>6</c:v>
                </c:pt>
                <c:pt idx="18">
                  <c:v>10</c:v>
                </c:pt>
                <c:pt idx="19">
                  <c:v>13</c:v>
                </c:pt>
                <c:pt idx="20">
                  <c:v>14</c:v>
                </c:pt>
                <c:pt idx="21">
                  <c:v>12</c:v>
                </c:pt>
                <c:pt idx="22">
                  <c:v>11</c:v>
                </c:pt>
                <c:pt idx="23">
                  <c:v>5</c:v>
                </c:pt>
                <c:pt idx="24">
                  <c:v>9</c:v>
                </c:pt>
                <c:pt idx="25">
                  <c:v>5</c:v>
                </c:pt>
                <c:pt idx="26">
                  <c:v>7</c:v>
                </c:pt>
                <c:pt idx="27">
                  <c:v>7</c:v>
                </c:pt>
                <c:pt idx="28">
                  <c:v>4</c:v>
                </c:pt>
                <c:pt idx="29">
                  <c:v>7</c:v>
                </c:pt>
                <c:pt idx="30">
                  <c:v>2</c:v>
                </c:pt>
                <c:pt idx="31">
                  <c:v>7</c:v>
                </c:pt>
                <c:pt idx="32">
                  <c:v>3</c:v>
                </c:pt>
                <c:pt idx="33">
                  <c:v>3</c:v>
                </c:pt>
                <c:pt idx="34">
                  <c:v>3</c:v>
                </c:pt>
                <c:pt idx="35">
                  <c:v>3</c:v>
                </c:pt>
                <c:pt idx="36">
                  <c:v>2</c:v>
                </c:pt>
                <c:pt idx="37">
                  <c:v>0</c:v>
                </c:pt>
                <c:pt idx="38">
                  <c:v>3</c:v>
                </c:pt>
                <c:pt idx="39">
                  <c:v>6</c:v>
                </c:pt>
                <c:pt idx="40">
                  <c:v>6</c:v>
                </c:pt>
                <c:pt idx="41">
                  <c:v>12</c:v>
                </c:pt>
              </c:numCache>
            </c:numRef>
          </c:val>
          <c:extLst>
            <c:ext xmlns:c16="http://schemas.microsoft.com/office/drawing/2014/chart" uri="{C3380CC4-5D6E-409C-BE32-E72D297353CC}">
              <c16:uniqueId val="{00000003-BD0C-4EC8-8D5A-C82D33B16B91}"/>
            </c:ext>
          </c:extLst>
        </c:ser>
        <c:ser>
          <c:idx val="5"/>
          <c:order val="5"/>
          <c:tx>
            <c:strRef>
              <c:f>'4.1'!$H$4</c:f>
              <c:strCache>
                <c:ptCount val="1"/>
                <c:pt idx="0">
                  <c:v>Land</c:v>
                </c:pt>
              </c:strCache>
            </c:strRef>
          </c:tx>
          <c:spPr>
            <a:solidFill>
              <a:srgbClr val="006E59"/>
            </a:solidFill>
            <a:ln>
              <a:solidFill>
                <a:srgbClr val="006E59"/>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'4.1'!$H$5:$H$46</c:f>
              <c:numCache>
                <c:formatCode>#,##0</c:formatCode>
                <c:ptCount val="42"/>
                <c:pt idx="0">
                  <c:v>0</c:v>
                </c:pt>
                <c:pt idx="1">
                  <c:v>4</c:v>
                </c:pt>
                <c:pt idx="2">
                  <c:v>4</c:v>
                </c:pt>
                <c:pt idx="3">
                  <c:v>3</c:v>
                </c:pt>
                <c:pt idx="4">
                  <c:v>2</c:v>
                </c:pt>
                <c:pt idx="5">
                  <c:v>2</c:v>
                </c:pt>
                <c:pt idx="6">
                  <c:v>6</c:v>
                </c:pt>
                <c:pt idx="7">
                  <c:v>6</c:v>
                </c:pt>
                <c:pt idx="8">
                  <c:v>1</c:v>
                </c:pt>
                <c:pt idx="9">
                  <c:v>1</c:v>
                </c:pt>
                <c:pt idx="10">
                  <c:v>3</c:v>
                </c:pt>
                <c:pt idx="11">
                  <c:v>1</c:v>
                </c:pt>
                <c:pt idx="12">
                  <c:v>4</c:v>
                </c:pt>
                <c:pt idx="13">
                  <c:v>1</c:v>
                </c:pt>
                <c:pt idx="14">
                  <c:v>1</c:v>
                </c:pt>
                <c:pt idx="15">
                  <c:v>1</c:v>
                </c:pt>
                <c:pt idx="16">
                  <c:v>0</c:v>
                </c:pt>
                <c:pt idx="17">
                  <c:v>2</c:v>
                </c:pt>
                <c:pt idx="18">
                  <c:v>1</c:v>
                </c:pt>
                <c:pt idx="19">
                  <c:v>0</c:v>
                </c:pt>
                <c:pt idx="20">
                  <c:v>0</c:v>
                </c:pt>
                <c:pt idx="21">
                  <c:v>4</c:v>
                </c:pt>
                <c:pt idx="22">
                  <c:v>7</c:v>
                </c:pt>
                <c:pt idx="23">
                  <c:v>6</c:v>
                </c:pt>
                <c:pt idx="24">
                  <c:v>3</c:v>
                </c:pt>
                <c:pt idx="25">
                  <c:v>3</c:v>
                </c:pt>
                <c:pt idx="26">
                  <c:v>0</c:v>
                </c:pt>
                <c:pt idx="27">
                  <c:v>2</c:v>
                </c:pt>
                <c:pt idx="28">
                  <c:v>0</c:v>
                </c:pt>
                <c:pt idx="29">
                  <c:v>3</c:v>
                </c:pt>
                <c:pt idx="30">
                  <c:v>0</c:v>
                </c:pt>
                <c:pt idx="31">
                  <c:v>1</c:v>
                </c:pt>
                <c:pt idx="32">
                  <c:v>3</c:v>
                </c:pt>
                <c:pt idx="33">
                  <c:v>1</c:v>
                </c:pt>
                <c:pt idx="34">
                  <c:v>0</c:v>
                </c:pt>
                <c:pt idx="35">
                  <c:v>0</c:v>
                </c:pt>
                <c:pt idx="36">
                  <c:v>0</c:v>
                </c:pt>
                <c:pt idx="37">
                  <c:v>0</c:v>
                </c:pt>
                <c:pt idx="38">
                  <c:v>2</c:v>
                </c:pt>
                <c:pt idx="39">
                  <c:v>1</c:v>
                </c:pt>
                <c:pt idx="40">
                  <c:v>1</c:v>
                </c:pt>
                <c:pt idx="41">
                  <c:v>1</c:v>
                </c:pt>
              </c:numCache>
            </c:numRef>
          </c:val>
          <c:extLst>
            <c:ext xmlns:c16="http://schemas.microsoft.com/office/drawing/2014/chart" uri="{C3380CC4-5D6E-409C-BE32-E72D297353CC}">
              <c16:uniqueId val="{00000004-BD0C-4EC8-8D5A-C82D33B16B91}"/>
            </c:ext>
          </c:extLst>
        </c:ser>
        <c:dLbls>
          <c:showLegendKey val="0"/>
          <c:showVal val="0"/>
          <c:showCatName val="0"/>
          <c:showSerName val="0"/>
          <c:showPercent val="0"/>
          <c:showBubbleSize val="0"/>
        </c:dLbls>
        <c:gapWidth val="150"/>
        <c:overlap val="100"/>
        <c:axId val="391853359"/>
        <c:axId val="391831727"/>
      </c:barChart>
      <c:lineChart>
        <c:grouping val="standard"/>
        <c:varyColors val="0"/>
        <c:ser>
          <c:idx val="0"/>
          <c:order val="0"/>
          <c:tx>
            <c:strRef>
              <c:f>'4.1'!$C$4</c:f>
              <c:strCache>
                <c:ptCount val="1"/>
                <c:pt idx="0">
                  <c:v>Total</c:v>
                </c:pt>
              </c:strCache>
            </c:strRef>
          </c:tx>
          <c:spPr>
            <a:ln w="22225" cap="rnd">
              <a:solidFill>
                <a:schemeClr val="tx1">
                  <a:lumMod val="75000"/>
                  <a:lumOff val="25000"/>
                </a:schemeClr>
              </a:solidFill>
              <a:round/>
            </a:ln>
            <a:effectLst/>
          </c:spPr>
          <c:marker>
            <c:symbol val="square"/>
            <c:size val="5"/>
            <c:spPr>
              <a:solidFill>
                <a:schemeClr val="tx1">
                  <a:lumMod val="65000"/>
                  <a:lumOff val="35000"/>
                </a:schemeClr>
              </a:solidFill>
              <a:ln w="9525">
                <a:solidFill>
                  <a:schemeClr val="tx1">
                    <a:lumMod val="75000"/>
                    <a:lumOff val="25000"/>
                  </a:schemeClr>
                </a:solidFill>
              </a:ln>
              <a:effectLst/>
            </c:spPr>
          </c:marker>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'4.1'!$C$5:$C$46</c:f>
              <c:numCache>
                <c:formatCode>#,##0</c:formatCode>
                <c:ptCount val="42"/>
                <c:pt idx="0">
                  <c:v>131</c:v>
                </c:pt>
                <c:pt idx="1">
                  <c:v>153</c:v>
                </c:pt>
                <c:pt idx="2">
                  <c:v>72</c:v>
                </c:pt>
                <c:pt idx="3">
                  <c:v>42</c:v>
                </c:pt>
                <c:pt idx="4">
                  <c:v>97</c:v>
                </c:pt>
                <c:pt idx="5">
                  <c:v>75</c:v>
                </c:pt>
                <c:pt idx="6">
                  <c:v>100</c:v>
                </c:pt>
                <c:pt idx="7">
                  <c:v>106</c:v>
                </c:pt>
                <c:pt idx="8">
                  <c:v>84</c:v>
                </c:pt>
                <c:pt idx="9">
                  <c:v>72</c:v>
                </c:pt>
                <c:pt idx="10">
                  <c:v>104</c:v>
                </c:pt>
                <c:pt idx="11">
                  <c:v>97</c:v>
                </c:pt>
                <c:pt idx="12">
                  <c:v>92</c:v>
                </c:pt>
                <c:pt idx="13">
                  <c:v>84</c:v>
                </c:pt>
                <c:pt idx="14">
                  <c:v>110</c:v>
                </c:pt>
                <c:pt idx="15">
                  <c:v>129</c:v>
                </c:pt>
                <c:pt idx="16">
                  <c:v>115</c:v>
                </c:pt>
                <c:pt idx="17">
                  <c:v>123</c:v>
                </c:pt>
                <c:pt idx="18">
                  <c:v>107</c:v>
                </c:pt>
                <c:pt idx="19">
                  <c:v>111</c:v>
                </c:pt>
                <c:pt idx="20">
                  <c:v>76</c:v>
                </c:pt>
                <c:pt idx="21">
                  <c:v>115</c:v>
                </c:pt>
                <c:pt idx="22">
                  <c:v>182</c:v>
                </c:pt>
                <c:pt idx="23">
                  <c:v>131</c:v>
                </c:pt>
                <c:pt idx="24">
                  <c:v>112</c:v>
                </c:pt>
                <c:pt idx="25">
                  <c:v>105</c:v>
                </c:pt>
                <c:pt idx="26">
                  <c:v>133</c:v>
                </c:pt>
                <c:pt idx="27">
                  <c:v>129</c:v>
                </c:pt>
                <c:pt idx="28">
                  <c:v>124</c:v>
                </c:pt>
                <c:pt idx="29">
                  <c:v>130</c:v>
                </c:pt>
                <c:pt idx="30">
                  <c:v>135</c:v>
                </c:pt>
                <c:pt idx="31">
                  <c:v>135</c:v>
                </c:pt>
                <c:pt idx="32">
                  <c:v>122</c:v>
                </c:pt>
                <c:pt idx="33">
                  <c:v>129</c:v>
                </c:pt>
                <c:pt idx="34">
                  <c:v>100</c:v>
                </c:pt>
                <c:pt idx="35">
                  <c:v>137</c:v>
                </c:pt>
                <c:pt idx="36">
                  <c:v>81</c:v>
                </c:pt>
                <c:pt idx="37">
                  <c:v>123</c:v>
                </c:pt>
                <c:pt idx="38">
                  <c:v>134</c:v>
                </c:pt>
                <c:pt idx="39">
                  <c:v>147</c:v>
                </c:pt>
                <c:pt idx="40">
                  <c:v>103</c:v>
                </c:pt>
                <c:pt idx="41">
                  <c:v>146</c:v>
                </c:pt>
              </c:numCache>
            </c:numRef>
          </c:val>
          <c:smooth val="0"/>
          <c:extLst>
            <c:ext xmlns:c16="http://schemas.microsoft.com/office/drawing/2014/chart" uri="{C3380CC4-5D6E-409C-BE32-E72D297353CC}">
              <c16:uniqueId val="{00000005-BD0C-4EC8-8D5A-C82D33B16B91}"/>
            </c:ext>
          </c:extLst>
        </c:ser>
        <c:dLbls>
          <c:showLegendKey val="0"/>
          <c:showVal val="0"/>
          <c:showCatName val="0"/>
          <c:showSerName val="0"/>
          <c:showPercent val="0"/>
          <c:showBubbleSize val="0"/>
        </c:dLbls>
        <c:marker val="1"/>
        <c:smooth val="0"/>
        <c:axId val="391853359"/>
        <c:axId val="391831727"/>
      </c:lineChart>
      <c:catAx>
        <c:axId val="3918533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391831727"/>
        <c:crosses val="autoZero"/>
        <c:auto val="1"/>
        <c:lblAlgn val="ctr"/>
        <c:lblOffset val="100"/>
        <c:noMultiLvlLbl val="0"/>
      </c:catAx>
      <c:valAx>
        <c:axId val="391831727"/>
        <c:scaling>
          <c:orientation val="minMax"/>
          <c:max val="200"/>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r>
                  <a:rPr lang="en-US" sz="1100">
                    <a:latin typeface="Geomanist" panose="02000503000000020004" pitchFamily="50" charset="0"/>
                  </a:rPr>
                  <a:t>Number of Transactions</a:t>
                </a:r>
              </a:p>
            </c:rich>
          </c:tx>
          <c:layout>
            <c:manualLayout>
              <c:xMode val="edge"/>
              <c:yMode val="edge"/>
              <c:x val="9.8206987323065532E-3"/>
              <c:y val="0.29783520241787953"/>
            </c:manualLayout>
          </c:layout>
          <c:overlay val="0"/>
          <c:spPr>
            <a:noFill/>
            <a:ln>
              <a:noFill/>
            </a:ln>
            <a:effectLst/>
          </c:spPr>
          <c:txPr>
            <a:bodyPr rot="-540000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1853359"/>
        <c:crosses val="autoZero"/>
        <c:crossBetween val="between"/>
        <c:majorUnit val="20"/>
        <c:minorUnit val="5"/>
      </c:valAx>
      <c:spPr>
        <a:noFill/>
        <a:ln w="19050">
          <a:noFill/>
        </a:ln>
        <a:effectLst/>
      </c:spPr>
    </c:plotArea>
    <c:legend>
      <c:legendPos val="b"/>
      <c:layout>
        <c:manualLayout>
          <c:xMode val="edge"/>
          <c:yMode val="edge"/>
          <c:x val="0.16342819867457917"/>
          <c:y val="0.93706116280919427"/>
          <c:w val="0.73660745872995914"/>
          <c:h val="4.3462723656226623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Geomanist" panose="02000503000000020004"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i="0" baseline="0">
          <a:solidFill>
            <a:sysClr val="windowText" lastClr="000000"/>
          </a:solidFill>
          <a:latin typeface="Calibri (Body)"/>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80"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80"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zoomScale="80"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zoomScale="80"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sheetViews>
    <sheetView zoomScale="80"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sheetViews>
    <sheetView zoomScale="80"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8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8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80"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zoomScale="80"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zoomScale="80"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zoomScale="80"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80"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zoomScale="8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0.23308</cdr:x>
      <cdr:y>0.03964</cdr:y>
    </cdr:from>
    <cdr:to>
      <cdr:x>0.86372</cdr:x>
      <cdr:y>0.14595</cdr:y>
    </cdr:to>
    <cdr:sp macro="" textlink="">
      <cdr:nvSpPr>
        <cdr:cNvPr id="2" name="TextBox 1"/>
        <cdr:cNvSpPr txBox="1"/>
      </cdr:nvSpPr>
      <cdr:spPr>
        <a:xfrm xmlns:a="http://schemas.openxmlformats.org/drawingml/2006/main">
          <a:off x="2362202" y="209551"/>
          <a:ext cx="6391274" cy="561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0.13941</cdr:x>
      <cdr:y>0.01318</cdr:y>
    </cdr:from>
    <cdr:to>
      <cdr:x>0.76906</cdr:x>
      <cdr:y>0.07285</cdr:y>
    </cdr:to>
    <cdr:sp macro="" textlink="">
      <cdr:nvSpPr>
        <cdr:cNvPr id="3" name="TextBox 2"/>
        <cdr:cNvSpPr txBox="1"/>
      </cdr:nvSpPr>
      <cdr:spPr>
        <a:xfrm xmlns:a="http://schemas.openxmlformats.org/drawingml/2006/main">
          <a:off x="1207483" y="82854"/>
          <a:ext cx="5453667" cy="3751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rgbClr val="006E59"/>
              </a:solidFill>
              <a:latin typeface="Heuristica" panose="02020603050705020204" pitchFamily="18" charset="0"/>
            </a:rPr>
            <a:t>Chart 4.1: </a:t>
          </a:r>
          <a:r>
            <a:rPr lang="en-US" sz="2000" b="1">
              <a:solidFill>
                <a:srgbClr val="D4C029"/>
              </a:solidFill>
              <a:latin typeface="Heuristica" panose="02020603050705020204" pitchFamily="18" charset="0"/>
            </a:rPr>
            <a:t>Number of Transactions</a:t>
          </a:r>
          <a:r>
            <a:rPr lang="en-US" sz="2000" b="1" baseline="0">
              <a:solidFill>
                <a:srgbClr val="D4C029"/>
              </a:solidFill>
              <a:latin typeface="Heuristica" panose="02020603050705020204" pitchFamily="18" charset="0"/>
            </a:rPr>
            <a:t> by Property Type</a:t>
          </a:r>
          <a:endParaRPr lang="en-US" sz="2000" b="1">
            <a:solidFill>
              <a:srgbClr val="D4C029"/>
            </a:solidFill>
            <a:latin typeface="Heuristica" panose="020206030507050202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565150</xdr:colOff>
      <xdr:row>1</xdr:row>
      <xdr:rowOff>165100</xdr:rowOff>
    </xdr:from>
    <xdr:to>
      <xdr:col>14</xdr:col>
      <xdr:colOff>444500</xdr:colOff>
      <xdr:row>35</xdr:row>
      <xdr:rowOff>158750</xdr:rowOff>
    </xdr:to>
    <xdr:graphicFrame macro="">
      <xdr:nvGraphicFramePr>
        <xdr:cNvPr id="2" name="Chart 1">
          <a:extLst>
            <a:ext uri="{FF2B5EF4-FFF2-40B4-BE49-F238E27FC236}">
              <a16:creationId xmlns:a16="http://schemas.microsoft.com/office/drawing/2014/main" id="{D58AC723-D4D4-4D1C-83FD-8D5D0215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10820400" cy="784860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10820400" cy="784860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20320</xdr:rowOff>
    </xdr:from>
    <xdr:to>
      <xdr:col>7</xdr:col>
      <xdr:colOff>409575</xdr:colOff>
      <xdr:row>17</xdr:row>
      <xdr:rowOff>134620</xdr:rowOff>
    </xdr:to>
    <xdr:graphicFrame macro="">
      <xdr:nvGraphicFramePr>
        <xdr:cNvPr id="3" name="Chart 2">
          <a:extLst>
            <a:ext uri="{FF2B5EF4-FFF2-40B4-BE49-F238E27FC236}">
              <a16:creationId xmlns:a16="http://schemas.microsoft.com/office/drawing/2014/main" id="{45972862-CAB3-4103-8EF4-F0FEE44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439420</xdr:colOff>
      <xdr:row>3</xdr:row>
      <xdr:rowOff>25136</xdr:rowOff>
    </xdr:from>
    <xdr:to>
      <xdr:col>15</xdr:col>
      <xdr:colOff>248794</xdr:colOff>
      <xdr:row>17</xdr:row>
      <xdr:rowOff>139436</xdr:rowOff>
    </xdr:to>
    <xdr:graphicFrame macro="">
      <xdr:nvGraphicFramePr>
        <xdr:cNvPr id="4" name="Chart 3">
          <a:extLst>
            <a:ext uri="{FF2B5EF4-FFF2-40B4-BE49-F238E27FC236}">
              <a16:creationId xmlns:a16="http://schemas.microsoft.com/office/drawing/2014/main" id="{6DF932DC-8211-4108-A46E-BAC2A9900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297809</xdr:colOff>
      <xdr:row>3</xdr:row>
      <xdr:rowOff>9769</xdr:rowOff>
    </xdr:from>
    <xdr:to>
      <xdr:col>23</xdr:col>
      <xdr:colOff>96726</xdr:colOff>
      <xdr:row>17</xdr:row>
      <xdr:rowOff>130419</xdr:rowOff>
    </xdr:to>
    <xdr:graphicFrame macro="">
      <xdr:nvGraphicFramePr>
        <xdr:cNvPr id="5" name="Chart 4">
          <a:extLst>
            <a:ext uri="{FF2B5EF4-FFF2-40B4-BE49-F238E27FC236}">
              <a16:creationId xmlns:a16="http://schemas.microsoft.com/office/drawing/2014/main" id="{E87BCC8D-054A-4CB5-8B2B-255C4A4DB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140339</xdr:colOff>
      <xdr:row>3</xdr:row>
      <xdr:rowOff>13631</xdr:rowOff>
    </xdr:from>
    <xdr:to>
      <xdr:col>30</xdr:col>
      <xdr:colOff>549832</xdr:colOff>
      <xdr:row>17</xdr:row>
      <xdr:rowOff>134281</xdr:rowOff>
    </xdr:to>
    <xdr:graphicFrame macro="">
      <xdr:nvGraphicFramePr>
        <xdr:cNvPr id="6" name="Chart 5">
          <a:extLst>
            <a:ext uri="{FF2B5EF4-FFF2-40B4-BE49-F238E27FC236}">
              <a16:creationId xmlns:a16="http://schemas.microsoft.com/office/drawing/2014/main" id="{F945CA74-FC38-4928-9FEA-1515D01F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xdr:row>
      <xdr:rowOff>154807</xdr:rowOff>
    </xdr:from>
    <xdr:to>
      <xdr:col>7</xdr:col>
      <xdr:colOff>408517</xdr:colOff>
      <xdr:row>32</xdr:row>
      <xdr:rowOff>91307</xdr:rowOff>
    </xdr:to>
    <xdr:graphicFrame macro="">
      <xdr:nvGraphicFramePr>
        <xdr:cNvPr id="7" name="Chart 6">
          <a:extLst>
            <a:ext uri="{FF2B5EF4-FFF2-40B4-BE49-F238E27FC236}">
              <a16:creationId xmlns:a16="http://schemas.microsoft.com/office/drawing/2014/main" id="{13AC1583-C478-4DE1-B5D6-501B47590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436695</xdr:colOff>
      <xdr:row>17</xdr:row>
      <xdr:rowOff>158258</xdr:rowOff>
    </xdr:from>
    <xdr:to>
      <xdr:col>15</xdr:col>
      <xdr:colOff>250428</xdr:colOff>
      <xdr:row>32</xdr:row>
      <xdr:rowOff>94758</xdr:rowOff>
    </xdr:to>
    <xdr:graphicFrame macro="">
      <xdr:nvGraphicFramePr>
        <xdr:cNvPr id="8" name="Chart 7">
          <a:extLst>
            <a:ext uri="{FF2B5EF4-FFF2-40B4-BE49-F238E27FC236}">
              <a16:creationId xmlns:a16="http://schemas.microsoft.com/office/drawing/2014/main" id="{72A2A345-0453-4FE3-8EEA-D9C3C5DEF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290132</xdr:colOff>
      <xdr:row>17</xdr:row>
      <xdr:rowOff>163338</xdr:rowOff>
    </xdr:from>
    <xdr:to>
      <xdr:col>23</xdr:col>
      <xdr:colOff>89049</xdr:colOff>
      <xdr:row>32</xdr:row>
      <xdr:rowOff>99838</xdr:rowOff>
    </xdr:to>
    <xdr:graphicFrame macro="">
      <xdr:nvGraphicFramePr>
        <xdr:cNvPr id="9" name="Chart 8">
          <a:extLst>
            <a:ext uri="{FF2B5EF4-FFF2-40B4-BE49-F238E27FC236}">
              <a16:creationId xmlns:a16="http://schemas.microsoft.com/office/drawing/2014/main" id="{B4BD8F53-6CC3-4578-8E46-4F4FABACD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135745</xdr:colOff>
      <xdr:row>17</xdr:row>
      <xdr:rowOff>159319</xdr:rowOff>
    </xdr:from>
    <xdr:to>
      <xdr:col>30</xdr:col>
      <xdr:colOff>545238</xdr:colOff>
      <xdr:row>32</xdr:row>
      <xdr:rowOff>95819</xdr:rowOff>
    </xdr:to>
    <xdr:graphicFrame macro="">
      <xdr:nvGraphicFramePr>
        <xdr:cNvPr id="10" name="Chart 9">
          <a:extLst>
            <a:ext uri="{FF2B5EF4-FFF2-40B4-BE49-F238E27FC236}">
              <a16:creationId xmlns:a16="http://schemas.microsoft.com/office/drawing/2014/main" id="{FF829A58-3846-4EDC-A806-5DE6E3F7D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4884</xdr:colOff>
      <xdr:row>32</xdr:row>
      <xdr:rowOff>126420</xdr:rowOff>
    </xdr:from>
    <xdr:to>
      <xdr:col>7</xdr:col>
      <xdr:colOff>413401</xdr:colOff>
      <xdr:row>47</xdr:row>
      <xdr:rowOff>62920</xdr:rowOff>
    </xdr:to>
    <xdr:graphicFrame macro="">
      <xdr:nvGraphicFramePr>
        <xdr:cNvPr id="11" name="Chart 10">
          <a:extLst>
            <a:ext uri="{FF2B5EF4-FFF2-40B4-BE49-F238E27FC236}">
              <a16:creationId xmlns:a16="http://schemas.microsoft.com/office/drawing/2014/main" id="{1E006EA2-EC73-4A69-B040-E79264710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436439</xdr:colOff>
      <xdr:row>32</xdr:row>
      <xdr:rowOff>120151</xdr:rowOff>
    </xdr:from>
    <xdr:to>
      <xdr:col>15</xdr:col>
      <xdr:colOff>250172</xdr:colOff>
      <xdr:row>47</xdr:row>
      <xdr:rowOff>56651</xdr:rowOff>
    </xdr:to>
    <xdr:graphicFrame macro="">
      <xdr:nvGraphicFramePr>
        <xdr:cNvPr id="12" name="Chart 11">
          <a:extLst>
            <a:ext uri="{FF2B5EF4-FFF2-40B4-BE49-F238E27FC236}">
              <a16:creationId xmlns:a16="http://schemas.microsoft.com/office/drawing/2014/main" id="{34F1A94A-204D-4A16-BE6D-3D6309E84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290108</xdr:colOff>
      <xdr:row>32</xdr:row>
      <xdr:rowOff>121330</xdr:rowOff>
    </xdr:from>
    <xdr:to>
      <xdr:col>23</xdr:col>
      <xdr:colOff>103842</xdr:colOff>
      <xdr:row>47</xdr:row>
      <xdr:rowOff>57830</xdr:rowOff>
    </xdr:to>
    <xdr:graphicFrame macro="">
      <xdr:nvGraphicFramePr>
        <xdr:cNvPr id="13" name="Chart 12">
          <a:extLst>
            <a:ext uri="{FF2B5EF4-FFF2-40B4-BE49-F238E27FC236}">
              <a16:creationId xmlns:a16="http://schemas.microsoft.com/office/drawing/2014/main" id="{05D5A753-C717-49B7-88D3-03E83F5A8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6.xml><?xml version="1.0" encoding="utf-8"?>
<xdr:wsDr xmlns:xdr="http://schemas.openxmlformats.org/drawingml/2006/spreadsheetDrawing" xmlns:a="http://schemas.openxmlformats.org/drawingml/2006/main">
  <xdr:absoluteAnchor>
    <xdr:pos x="0" y="0"/>
    <xdr:ext cx="10820400" cy="784860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10820400" cy="784860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67750" cy="6294438"/>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zoomScaleNormal="100" workbookViewId="0">
      <selection sqref="A1:C1"/>
    </sheetView>
  </sheetViews>
  <sheetFormatPr defaultColWidth="9.1796875" defaultRowHeight="18"/>
  <cols>
    <col min="1" max="1" width="4.1796875" style="393" customWidth="1"/>
    <col min="2" max="2" width="5.1796875" style="393" customWidth="1"/>
    <col min="3" max="3" width="66.1796875" style="391" customWidth="1"/>
    <col min="4" max="16384" width="9.1796875" style="391"/>
  </cols>
  <sheetData>
    <row r="1" spans="1:11" ht="18" customHeight="1">
      <c r="A1" s="712" t="s">
        <v>0</v>
      </c>
      <c r="B1" s="712"/>
      <c r="C1" s="713"/>
    </row>
    <row r="2" spans="1:11" ht="18" customHeight="1">
      <c r="A2" s="424"/>
      <c r="B2" s="424"/>
      <c r="C2" s="426"/>
    </row>
    <row r="3" spans="1:11" ht="18" customHeight="1">
      <c r="A3" s="425"/>
      <c r="B3" s="425"/>
      <c r="C3" s="419" t="s">
        <v>1</v>
      </c>
    </row>
    <row r="4" spans="1:11" ht="18" customHeight="1">
      <c r="A4" s="425"/>
      <c r="B4" s="425"/>
    </row>
    <row r="5" spans="1:11" ht="18" customHeight="1">
      <c r="A5" s="413">
        <v>1</v>
      </c>
      <c r="B5" s="416"/>
      <c r="C5" s="419" t="s">
        <v>2</v>
      </c>
    </row>
    <row r="6" spans="1:11" ht="18" customHeight="1">
      <c r="A6" s="415"/>
      <c r="B6" s="417">
        <v>1.1000000000000001</v>
      </c>
      <c r="C6" s="420" t="s">
        <v>3</v>
      </c>
    </row>
    <row r="7" spans="1:11" ht="18" customHeight="1">
      <c r="A7" s="415"/>
      <c r="B7" s="417">
        <v>1.2</v>
      </c>
      <c r="C7" s="420" t="s">
        <v>4</v>
      </c>
      <c r="K7" s="422"/>
    </row>
    <row r="8" spans="1:11" ht="18" customHeight="1">
      <c r="A8" s="415"/>
      <c r="B8" s="417">
        <v>1.3</v>
      </c>
      <c r="C8" s="420" t="s">
        <v>5</v>
      </c>
    </row>
    <row r="9" spans="1:11" ht="18" customHeight="1">
      <c r="A9" s="415"/>
      <c r="B9" s="417">
        <v>1.4</v>
      </c>
      <c r="C9" s="420" t="s">
        <v>6</v>
      </c>
      <c r="K9" s="423"/>
    </row>
    <row r="10" spans="1:11" ht="18" customHeight="1">
      <c r="A10" s="415"/>
      <c r="B10" s="417">
        <v>1.5</v>
      </c>
      <c r="C10" s="420" t="s">
        <v>7</v>
      </c>
    </row>
    <row r="11" spans="1:11" ht="18" customHeight="1">
      <c r="A11" s="414"/>
      <c r="B11" s="418"/>
      <c r="C11" s="421" t="s">
        <v>8</v>
      </c>
    </row>
    <row r="12" spans="1:11" ht="18" customHeight="1">
      <c r="A12" s="414"/>
      <c r="B12" s="418"/>
      <c r="C12" s="421"/>
    </row>
    <row r="13" spans="1:11" ht="18" customHeight="1">
      <c r="A13" s="413">
        <v>2</v>
      </c>
      <c r="B13" s="416"/>
      <c r="C13" s="419" t="s">
        <v>9</v>
      </c>
    </row>
    <row r="14" spans="1:11" ht="18" customHeight="1">
      <c r="A14" s="415"/>
      <c r="B14" s="417">
        <v>2.1</v>
      </c>
      <c r="C14" s="420" t="s">
        <v>10</v>
      </c>
    </row>
    <row r="15" spans="1:11" ht="18" customHeight="1">
      <c r="A15" s="415"/>
      <c r="B15" s="417">
        <v>2.2000000000000002</v>
      </c>
      <c r="C15" s="420" t="s">
        <v>11</v>
      </c>
    </row>
    <row r="16" spans="1:11" ht="18" customHeight="1">
      <c r="A16" s="415"/>
      <c r="B16" s="417">
        <v>2.2999999999999998</v>
      </c>
      <c r="C16" s="420" t="s">
        <v>12</v>
      </c>
    </row>
    <row r="17" spans="1:3" ht="18" customHeight="1">
      <c r="A17" s="415"/>
      <c r="B17" s="417">
        <v>2.4</v>
      </c>
      <c r="C17" s="420" t="s">
        <v>13</v>
      </c>
    </row>
    <row r="18" spans="1:3" ht="18" customHeight="1">
      <c r="A18" s="415"/>
      <c r="B18" s="417">
        <v>2.5</v>
      </c>
      <c r="C18" s="420" t="s">
        <v>14</v>
      </c>
    </row>
    <row r="19" spans="1:3" ht="18" customHeight="1">
      <c r="A19" s="415"/>
      <c r="B19" s="417">
        <v>2.6</v>
      </c>
      <c r="C19" s="420" t="s">
        <v>15</v>
      </c>
    </row>
    <row r="20" spans="1:3" ht="18" customHeight="1">
      <c r="A20" s="414"/>
      <c r="B20" s="418"/>
      <c r="C20" s="421"/>
    </row>
    <row r="21" spans="1:3" ht="18" customHeight="1">
      <c r="A21" s="413">
        <v>3</v>
      </c>
      <c r="B21" s="416"/>
      <c r="C21" s="419" t="s">
        <v>16</v>
      </c>
    </row>
    <row r="22" spans="1:3" ht="18" customHeight="1">
      <c r="A22" s="415"/>
      <c r="B22" s="417">
        <v>3.1</v>
      </c>
      <c r="C22" s="420" t="s">
        <v>17</v>
      </c>
    </row>
    <row r="23" spans="1:3" ht="18" customHeight="1">
      <c r="A23" s="415"/>
      <c r="B23" s="417">
        <v>3.2</v>
      </c>
      <c r="C23" s="420" t="s">
        <v>18</v>
      </c>
    </row>
    <row r="24" spans="1:3" ht="18" customHeight="1">
      <c r="A24" s="415"/>
      <c r="B24" s="417">
        <v>3.3</v>
      </c>
      <c r="C24" s="420" t="s">
        <v>19</v>
      </c>
    </row>
    <row r="25" spans="1:3" ht="18" customHeight="1">
      <c r="A25" s="414"/>
      <c r="B25" s="418"/>
      <c r="C25" s="421"/>
    </row>
    <row r="26" spans="1:3" ht="18" customHeight="1">
      <c r="A26" s="413">
        <v>4</v>
      </c>
      <c r="B26" s="416"/>
      <c r="C26" s="419" t="s">
        <v>20</v>
      </c>
    </row>
    <row r="27" spans="1:3" ht="18" customHeight="1">
      <c r="A27" s="415"/>
      <c r="B27" s="417">
        <v>4.0999999999999996</v>
      </c>
      <c r="C27" s="420" t="s">
        <v>21</v>
      </c>
    </row>
    <row r="28" spans="1:3" ht="18" customHeight="1">
      <c r="A28" s="415"/>
      <c r="B28" s="417">
        <v>4.2</v>
      </c>
      <c r="C28" s="420" t="s">
        <v>22</v>
      </c>
    </row>
    <row r="29" spans="1:3" ht="18" customHeight="1">
      <c r="A29" s="415"/>
      <c r="B29" s="417">
        <v>4.3</v>
      </c>
      <c r="C29" s="420" t="s">
        <v>23</v>
      </c>
    </row>
    <row r="30" spans="1:3" ht="18" customHeight="1">
      <c r="A30" s="415"/>
      <c r="B30" s="417">
        <v>4.4000000000000004</v>
      </c>
      <c r="C30" s="420" t="s">
        <v>24</v>
      </c>
    </row>
    <row r="31" spans="1:3" ht="18" customHeight="1">
      <c r="A31" s="415"/>
      <c r="B31" s="417">
        <v>4.5</v>
      </c>
      <c r="C31" s="420" t="s">
        <v>25</v>
      </c>
    </row>
    <row r="32" spans="1:3" ht="18" customHeight="1">
      <c r="A32" s="415"/>
      <c r="B32" s="417">
        <v>4.5999999999999996</v>
      </c>
      <c r="C32" s="420" t="s">
        <v>26</v>
      </c>
    </row>
    <row r="33" spans="1:15" ht="18" customHeight="1">
      <c r="A33" s="415"/>
      <c r="B33" s="417">
        <v>4.7</v>
      </c>
      <c r="C33" s="420" t="s">
        <v>27</v>
      </c>
    </row>
    <row r="34" spans="1:15" ht="18" customHeight="1">
      <c r="A34" s="414"/>
      <c r="B34" s="418"/>
      <c r="C34" s="421"/>
    </row>
    <row r="35" spans="1:15" ht="18" customHeight="1">
      <c r="A35" s="413">
        <v>5</v>
      </c>
      <c r="B35" s="416"/>
      <c r="C35" s="419" t="s">
        <v>28</v>
      </c>
    </row>
    <row r="36" spans="1:15" ht="18" customHeight="1">
      <c r="A36" s="415"/>
      <c r="B36" s="417">
        <v>5.0999999999999996</v>
      </c>
      <c r="C36" s="420" t="s">
        <v>29</v>
      </c>
    </row>
    <row r="37" spans="1:15" ht="18" customHeight="1">
      <c r="A37" s="415"/>
      <c r="B37" s="417">
        <v>5.2</v>
      </c>
      <c r="C37" s="420" t="s">
        <v>30</v>
      </c>
    </row>
    <row r="38" spans="1:15" ht="18" customHeight="1">
      <c r="A38" s="415"/>
      <c r="B38" s="417">
        <v>5.3</v>
      </c>
      <c r="C38" s="420" t="s">
        <v>31</v>
      </c>
      <c r="D38" s="392"/>
      <c r="E38" s="392"/>
    </row>
    <row r="39" spans="1:15" ht="18" customHeight="1">
      <c r="A39" s="414"/>
      <c r="B39" s="418"/>
      <c r="C39" s="421"/>
      <c r="D39" s="392"/>
      <c r="E39" s="392"/>
    </row>
    <row r="40" spans="1:15" ht="18" customHeight="1">
      <c r="A40" s="413">
        <v>6</v>
      </c>
      <c r="B40" s="416"/>
      <c r="C40" s="419" t="s">
        <v>32</v>
      </c>
    </row>
    <row r="41" spans="1:15" ht="18" customHeight="1">
      <c r="A41" s="415"/>
      <c r="B41" s="417">
        <v>6.1</v>
      </c>
      <c r="C41" s="420" t="s">
        <v>33</v>
      </c>
    </row>
    <row r="42" spans="1:15" ht="18" customHeight="1">
      <c r="A42" s="415"/>
      <c r="B42" s="417">
        <v>6.2</v>
      </c>
      <c r="C42" s="420" t="s">
        <v>34</v>
      </c>
    </row>
    <row r="43" spans="1:15" ht="18" customHeight="1">
      <c r="A43" s="415"/>
      <c r="B43" s="417">
        <v>6.3</v>
      </c>
      <c r="C43" s="420" t="s">
        <v>35</v>
      </c>
      <c r="D43" s="392"/>
      <c r="E43" s="392"/>
      <c r="F43" s="392"/>
      <c r="G43" s="392"/>
      <c r="H43" s="392"/>
      <c r="I43" s="392"/>
      <c r="J43" s="392"/>
      <c r="K43" s="392"/>
      <c r="L43" s="392"/>
      <c r="M43" s="392"/>
      <c r="N43" s="392"/>
      <c r="O43" s="392"/>
    </row>
  </sheetData>
  <mergeCells count="1">
    <mergeCell ref="A1:C1"/>
  </mergeCells>
  <printOptions horizontalCentered="1"/>
  <pageMargins left="0.28999999999999998" right="0.24" top="0.75" bottom="0.75" header="0.3" footer="0.3"/>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84"/>
  <sheetViews>
    <sheetView zoomScaleNormal="100" workbookViewId="0">
      <pane xSplit="2" ySplit="4" topLeftCell="C168" activePane="bottomRight" state="frozen"/>
      <selection pane="topRight" activeCell="G154" sqref="G154"/>
      <selection pane="bottomLeft" activeCell="G154" sqref="G154"/>
      <selection pane="bottomRight" sqref="A1:F1"/>
    </sheetView>
  </sheetViews>
  <sheetFormatPr defaultColWidth="9.1796875" defaultRowHeight="13"/>
  <cols>
    <col min="1" max="2" width="6.81640625" style="65" customWidth="1"/>
    <col min="3" max="6" width="20.81640625" style="65" customWidth="1"/>
    <col min="7" max="16384" width="9.1796875" style="65"/>
  </cols>
  <sheetData>
    <row r="1" spans="1:8" ht="16.5" customHeight="1">
      <c r="A1" s="716" t="s">
        <v>183</v>
      </c>
      <c r="B1" s="716"/>
      <c r="C1" s="716"/>
      <c r="D1" s="716"/>
      <c r="E1" s="716"/>
      <c r="F1" s="716"/>
      <c r="G1" s="91"/>
    </row>
    <row r="2" spans="1:8" ht="12.75" customHeight="1">
      <c r="A2" s="750" t="s">
        <v>184</v>
      </c>
      <c r="B2" s="750"/>
      <c r="C2" s="750"/>
      <c r="D2" s="750"/>
      <c r="E2" s="750"/>
      <c r="F2" s="750"/>
    </row>
    <row r="3" spans="1:8" ht="15.75" customHeight="1">
      <c r="A3" s="756" t="s">
        <v>98</v>
      </c>
      <c r="B3" s="757"/>
      <c r="C3" s="760" t="s">
        <v>185</v>
      </c>
      <c r="D3" s="761"/>
      <c r="E3" s="761"/>
      <c r="F3" s="762"/>
    </row>
    <row r="4" spans="1:8" ht="18" customHeight="1">
      <c r="A4" s="758"/>
      <c r="B4" s="759"/>
      <c r="C4" s="493" t="s">
        <v>177</v>
      </c>
      <c r="D4" s="494" t="s">
        <v>178</v>
      </c>
      <c r="E4" s="493" t="s">
        <v>179</v>
      </c>
      <c r="F4" s="495" t="s">
        <v>180</v>
      </c>
    </row>
    <row r="5" spans="1:8" ht="14.5">
      <c r="A5" s="471">
        <v>2011</v>
      </c>
      <c r="B5" s="454" t="s">
        <v>105</v>
      </c>
      <c r="C5" s="170">
        <v>0.27500000000000002</v>
      </c>
      <c r="D5" s="171" t="s">
        <v>181</v>
      </c>
      <c r="E5" s="170" t="s">
        <v>181</v>
      </c>
      <c r="F5" s="174">
        <v>0.34</v>
      </c>
      <c r="G5" s="91"/>
      <c r="H5" s="91"/>
    </row>
    <row r="6" spans="1:8" ht="14.5">
      <c r="A6" s="472"/>
      <c r="B6" s="455" t="s">
        <v>106</v>
      </c>
      <c r="C6" s="166">
        <v>0.27</v>
      </c>
      <c r="D6" s="167" t="s">
        <v>181</v>
      </c>
      <c r="E6" s="166" t="s">
        <v>181</v>
      </c>
      <c r="F6" s="173">
        <v>0.34</v>
      </c>
      <c r="G6" s="91"/>
      <c r="H6" s="91"/>
    </row>
    <row r="7" spans="1:8" ht="14.5">
      <c r="A7" s="472"/>
      <c r="B7" s="455" t="s">
        <v>107</v>
      </c>
      <c r="C7" s="166" t="s">
        <v>181</v>
      </c>
      <c r="D7" s="167" t="s">
        <v>181</v>
      </c>
      <c r="E7" s="166" t="s">
        <v>181</v>
      </c>
      <c r="F7" s="173">
        <v>0.34</v>
      </c>
      <c r="G7" s="91"/>
      <c r="H7" s="91"/>
    </row>
    <row r="8" spans="1:8" ht="14.5">
      <c r="A8" s="472"/>
      <c r="B8" s="455" t="s">
        <v>108</v>
      </c>
      <c r="C8" s="166">
        <v>0.28000000000000003</v>
      </c>
      <c r="D8" s="167" t="s">
        <v>181</v>
      </c>
      <c r="E8" s="166" t="s">
        <v>181</v>
      </c>
      <c r="F8" s="173">
        <v>0.34</v>
      </c>
      <c r="G8" s="91"/>
      <c r="H8" s="91"/>
    </row>
    <row r="9" spans="1:8" ht="14.5">
      <c r="A9" s="472"/>
      <c r="B9" s="455" t="s">
        <v>109</v>
      </c>
      <c r="C9" s="166">
        <v>0.26500000000000001</v>
      </c>
      <c r="D9" s="167" t="s">
        <v>181</v>
      </c>
      <c r="E9" s="166" t="s">
        <v>181</v>
      </c>
      <c r="F9" s="173">
        <v>0.34</v>
      </c>
      <c r="G9" s="91"/>
      <c r="H9" s="91"/>
    </row>
    <row r="10" spans="1:8" ht="14.5">
      <c r="A10" s="472"/>
      <c r="B10" s="455" t="s">
        <v>110</v>
      </c>
      <c r="C10" s="166">
        <v>0.22999999999999998</v>
      </c>
      <c r="D10" s="167" t="s">
        <v>181</v>
      </c>
      <c r="E10" s="166" t="s">
        <v>181</v>
      </c>
      <c r="F10" s="173">
        <v>0.34</v>
      </c>
      <c r="G10" s="91"/>
      <c r="H10" s="91"/>
    </row>
    <row r="11" spans="1:8" ht="14.5">
      <c r="A11" s="472"/>
      <c r="B11" s="455" t="s">
        <v>111</v>
      </c>
      <c r="C11" s="166">
        <v>0.21000000000000002</v>
      </c>
      <c r="D11" s="167" t="s">
        <v>181</v>
      </c>
      <c r="E11" s="166" t="s">
        <v>181</v>
      </c>
      <c r="F11" s="173">
        <v>0.34</v>
      </c>
      <c r="G11" s="91"/>
      <c r="H11" s="91"/>
    </row>
    <row r="12" spans="1:8" ht="14.5">
      <c r="A12" s="472"/>
      <c r="B12" s="455" t="s">
        <v>112</v>
      </c>
      <c r="C12" s="166">
        <v>0.17250000000000001</v>
      </c>
      <c r="D12" s="167" t="s">
        <v>181</v>
      </c>
      <c r="E12" s="166" t="s">
        <v>181</v>
      </c>
      <c r="F12" s="173">
        <v>0.35</v>
      </c>
      <c r="G12" s="91"/>
      <c r="H12" s="91"/>
    </row>
    <row r="13" spans="1:8" ht="14.5">
      <c r="A13" s="472"/>
      <c r="B13" s="455" t="s">
        <v>113</v>
      </c>
      <c r="C13" s="166">
        <v>0.15000000000000002</v>
      </c>
      <c r="D13" s="167" t="s">
        <v>181</v>
      </c>
      <c r="E13" s="166" t="s">
        <v>181</v>
      </c>
      <c r="F13" s="173">
        <v>0.35</v>
      </c>
      <c r="G13" s="91"/>
      <c r="H13" s="91"/>
    </row>
    <row r="14" spans="1:8" ht="14.5">
      <c r="A14" s="472"/>
      <c r="B14" s="455" t="s">
        <v>114</v>
      </c>
      <c r="C14" s="166">
        <v>0.11666666666666665</v>
      </c>
      <c r="D14" s="167" t="s">
        <v>181</v>
      </c>
      <c r="E14" s="166" t="s">
        <v>181</v>
      </c>
      <c r="F14" s="173">
        <v>0.35</v>
      </c>
      <c r="G14" s="91"/>
      <c r="H14" s="91"/>
    </row>
    <row r="15" spans="1:8" ht="14.5">
      <c r="A15" s="472"/>
      <c r="B15" s="455" t="s">
        <v>115</v>
      </c>
      <c r="C15" s="166">
        <v>0.15125</v>
      </c>
      <c r="D15" s="167" t="s">
        <v>181</v>
      </c>
      <c r="E15" s="166" t="s">
        <v>181</v>
      </c>
      <c r="F15" s="173">
        <v>0.35</v>
      </c>
      <c r="G15" s="91"/>
      <c r="H15" s="91"/>
    </row>
    <row r="16" spans="1:8" ht="14.5">
      <c r="A16" s="472"/>
      <c r="B16" s="455" t="s">
        <v>116</v>
      </c>
      <c r="C16" s="166">
        <v>0.15625</v>
      </c>
      <c r="D16" s="167" t="s">
        <v>181</v>
      </c>
      <c r="E16" s="166" t="s">
        <v>181</v>
      </c>
      <c r="F16" s="173">
        <v>0.35</v>
      </c>
      <c r="G16" s="91"/>
      <c r="H16" s="91"/>
    </row>
    <row r="17" spans="1:8" ht="14.5">
      <c r="A17" s="471">
        <v>2012</v>
      </c>
      <c r="B17" s="454" t="s">
        <v>105</v>
      </c>
      <c r="C17" s="170">
        <v>0.17500000000000002</v>
      </c>
      <c r="D17" s="171" t="s">
        <v>181</v>
      </c>
      <c r="E17" s="170" t="s">
        <v>181</v>
      </c>
      <c r="F17" s="174">
        <v>0.35</v>
      </c>
      <c r="G17" s="91"/>
      <c r="H17" s="91"/>
    </row>
    <row r="18" spans="1:8" ht="14.5">
      <c r="A18" s="472"/>
      <c r="B18" s="455" t="s">
        <v>106</v>
      </c>
      <c r="C18" s="166">
        <v>0.17</v>
      </c>
      <c r="D18" s="167" t="s">
        <v>181</v>
      </c>
      <c r="E18" s="166" t="s">
        <v>181</v>
      </c>
      <c r="F18" s="173">
        <v>0.35</v>
      </c>
      <c r="G18" s="91"/>
      <c r="H18" s="91"/>
    </row>
    <row r="19" spans="1:8" ht="14.5">
      <c r="A19" s="472"/>
      <c r="B19" s="455" t="s">
        <v>107</v>
      </c>
      <c r="C19" s="166">
        <v>0.2</v>
      </c>
      <c r="D19" s="167" t="s">
        <v>181</v>
      </c>
      <c r="E19" s="166" t="s">
        <v>181</v>
      </c>
      <c r="F19" s="173">
        <v>0.35</v>
      </c>
      <c r="G19" s="91"/>
      <c r="H19" s="91"/>
    </row>
    <row r="20" spans="1:8" ht="14.5">
      <c r="A20" s="472"/>
      <c r="B20" s="455" t="s">
        <v>108</v>
      </c>
      <c r="C20" s="166">
        <v>0.19500000000000001</v>
      </c>
      <c r="D20" s="167" t="s">
        <v>181</v>
      </c>
      <c r="E20" s="166" t="s">
        <v>181</v>
      </c>
      <c r="F20" s="173">
        <v>0.35</v>
      </c>
      <c r="G20" s="91"/>
      <c r="H20" s="91"/>
    </row>
    <row r="21" spans="1:8" ht="14.5">
      <c r="A21" s="472"/>
      <c r="B21" s="455" t="s">
        <v>109</v>
      </c>
      <c r="C21" s="166">
        <v>0.192</v>
      </c>
      <c r="D21" s="167" t="s">
        <v>181</v>
      </c>
      <c r="E21" s="166" t="s">
        <v>181</v>
      </c>
      <c r="F21" s="173">
        <v>0.35</v>
      </c>
      <c r="G21" s="91"/>
      <c r="H21" s="91"/>
    </row>
    <row r="22" spans="1:8" ht="14.5">
      <c r="A22" s="472"/>
      <c r="B22" s="455" t="s">
        <v>110</v>
      </c>
      <c r="C22" s="166">
        <v>0.188</v>
      </c>
      <c r="D22" s="167" t="s">
        <v>181</v>
      </c>
      <c r="E22" s="166" t="s">
        <v>181</v>
      </c>
      <c r="F22" s="173">
        <v>0.35</v>
      </c>
      <c r="G22" s="91"/>
      <c r="H22" s="91"/>
    </row>
    <row r="23" spans="1:8" ht="14.5">
      <c r="A23" s="472"/>
      <c r="B23" s="455" t="s">
        <v>111</v>
      </c>
      <c r="C23" s="166">
        <v>0.185</v>
      </c>
      <c r="D23" s="167" t="s">
        <v>181</v>
      </c>
      <c r="E23" s="166" t="s">
        <v>181</v>
      </c>
      <c r="F23" s="173">
        <v>0.35</v>
      </c>
      <c r="G23" s="91"/>
      <c r="H23" s="91"/>
    </row>
    <row r="24" spans="1:8" ht="14.5">
      <c r="A24" s="472"/>
      <c r="B24" s="455" t="s">
        <v>112</v>
      </c>
      <c r="C24" s="166">
        <v>0.185</v>
      </c>
      <c r="D24" s="167" t="s">
        <v>181</v>
      </c>
      <c r="E24" s="166" t="s">
        <v>181</v>
      </c>
      <c r="F24" s="173">
        <v>0.28000000000000003</v>
      </c>
      <c r="G24" s="91"/>
      <c r="H24" s="91"/>
    </row>
    <row r="25" spans="1:8" ht="14.5">
      <c r="A25" s="472"/>
      <c r="B25" s="455" t="s">
        <v>113</v>
      </c>
      <c r="C25" s="166">
        <v>0.18000000000000002</v>
      </c>
      <c r="D25" s="167" t="s">
        <v>181</v>
      </c>
      <c r="E25" s="166" t="s">
        <v>181</v>
      </c>
      <c r="F25" s="173">
        <v>0.28000000000000003</v>
      </c>
      <c r="G25" s="91"/>
      <c r="H25" s="91"/>
    </row>
    <row r="26" spans="1:8" ht="14.5">
      <c r="A26" s="472"/>
      <c r="B26" s="455" t="s">
        <v>114</v>
      </c>
      <c r="C26" s="166">
        <v>0.17333333333333334</v>
      </c>
      <c r="D26" s="167" t="s">
        <v>181</v>
      </c>
      <c r="E26" s="166" t="s">
        <v>181</v>
      </c>
      <c r="F26" s="173">
        <v>0.28000000000000003</v>
      </c>
      <c r="G26" s="91"/>
      <c r="H26" s="91"/>
    </row>
    <row r="27" spans="1:8" ht="14.5">
      <c r="A27" s="472"/>
      <c r="B27" s="455" t="s">
        <v>115</v>
      </c>
      <c r="C27" s="166">
        <v>0.16500000000000001</v>
      </c>
      <c r="D27" s="167" t="s">
        <v>181</v>
      </c>
      <c r="E27" s="166" t="s">
        <v>181</v>
      </c>
      <c r="F27" s="173">
        <v>0.28000000000000003</v>
      </c>
      <c r="G27" s="91"/>
      <c r="H27" s="91"/>
    </row>
    <row r="28" spans="1:8" ht="14.5">
      <c r="A28" s="472"/>
      <c r="B28" s="455" t="s">
        <v>116</v>
      </c>
      <c r="C28" s="166">
        <v>0.16</v>
      </c>
      <c r="D28" s="167" t="s">
        <v>181</v>
      </c>
      <c r="E28" s="166" t="s">
        <v>181</v>
      </c>
      <c r="F28" s="173">
        <v>0.28000000000000003</v>
      </c>
      <c r="G28" s="91"/>
      <c r="H28" s="91"/>
    </row>
    <row r="29" spans="1:8" ht="14.5">
      <c r="A29" s="471">
        <v>2013</v>
      </c>
      <c r="B29" s="454" t="s">
        <v>105</v>
      </c>
      <c r="C29" s="175">
        <v>0.16</v>
      </c>
      <c r="D29" s="171" t="s">
        <v>181</v>
      </c>
      <c r="E29" s="170" t="s">
        <v>181</v>
      </c>
      <c r="F29" s="174">
        <v>0.28000000000000003</v>
      </c>
      <c r="G29" s="91"/>
      <c r="H29" s="91"/>
    </row>
    <row r="30" spans="1:8" ht="14.5">
      <c r="A30" s="472"/>
      <c r="B30" s="455" t="s">
        <v>106</v>
      </c>
      <c r="C30" s="166">
        <v>0.16999999999999998</v>
      </c>
      <c r="D30" s="167" t="s">
        <v>181</v>
      </c>
      <c r="E30" s="166" t="s">
        <v>181</v>
      </c>
      <c r="F30" s="173">
        <v>0.28000000000000003</v>
      </c>
      <c r="G30" s="91"/>
      <c r="H30" s="91"/>
    </row>
    <row r="31" spans="1:8" ht="14.5">
      <c r="A31" s="472"/>
      <c r="B31" s="455" t="s">
        <v>107</v>
      </c>
      <c r="C31" s="166">
        <v>0.16666666666666666</v>
      </c>
      <c r="D31" s="167" t="s">
        <v>181</v>
      </c>
      <c r="E31" s="166" t="s">
        <v>181</v>
      </c>
      <c r="F31" s="173">
        <v>0.28000000000000003</v>
      </c>
      <c r="G31" s="91"/>
      <c r="H31" s="91"/>
    </row>
    <row r="32" spans="1:8" ht="14.5">
      <c r="A32" s="472"/>
      <c r="B32" s="455" t="s">
        <v>108</v>
      </c>
      <c r="C32" s="166">
        <v>0.16250000000000001</v>
      </c>
      <c r="D32" s="167" t="s">
        <v>181</v>
      </c>
      <c r="E32" s="166" t="s">
        <v>181</v>
      </c>
      <c r="F32" s="173">
        <v>0.28000000000000003</v>
      </c>
      <c r="G32" s="91"/>
      <c r="H32" s="91"/>
    </row>
    <row r="33" spans="1:8" ht="14.5">
      <c r="A33" s="472"/>
      <c r="B33" s="455" t="s">
        <v>109</v>
      </c>
      <c r="C33" s="166">
        <v>0.17799999999999999</v>
      </c>
      <c r="D33" s="167" t="s">
        <v>181</v>
      </c>
      <c r="E33" s="166" t="s">
        <v>181</v>
      </c>
      <c r="F33" s="173">
        <v>0.28000000000000003</v>
      </c>
      <c r="G33" s="91"/>
      <c r="H33" s="91"/>
    </row>
    <row r="34" spans="1:8" ht="14.5">
      <c r="A34" s="472"/>
      <c r="B34" s="455" t="s">
        <v>110</v>
      </c>
      <c r="C34" s="166">
        <v>0.19</v>
      </c>
      <c r="D34" s="167" t="s">
        <v>181</v>
      </c>
      <c r="E34" s="166" t="s">
        <v>181</v>
      </c>
      <c r="F34" s="173">
        <v>0.28000000000000003</v>
      </c>
      <c r="G34" s="91"/>
      <c r="H34" s="91"/>
    </row>
    <row r="35" spans="1:8" ht="14.5">
      <c r="A35" s="472"/>
      <c r="B35" s="455" t="s">
        <v>117</v>
      </c>
      <c r="C35" s="166">
        <v>0.2</v>
      </c>
      <c r="D35" s="167" t="s">
        <v>181</v>
      </c>
      <c r="E35" s="166" t="s">
        <v>181</v>
      </c>
      <c r="F35" s="173">
        <v>0.24000000000000002</v>
      </c>
      <c r="G35" s="91"/>
      <c r="H35" s="91"/>
    </row>
    <row r="36" spans="1:8" ht="14.5">
      <c r="A36" s="472"/>
      <c r="B36" s="455" t="s">
        <v>112</v>
      </c>
      <c r="C36" s="166">
        <v>0.17500000000000002</v>
      </c>
      <c r="D36" s="167" t="s">
        <v>181</v>
      </c>
      <c r="E36" s="166" t="s">
        <v>181</v>
      </c>
      <c r="F36" s="173">
        <v>0.2</v>
      </c>
      <c r="G36" s="91"/>
      <c r="H36" s="91"/>
    </row>
    <row r="37" spans="1:8" ht="14.5">
      <c r="A37" s="472"/>
      <c r="B37" s="455" t="s">
        <v>113</v>
      </c>
      <c r="C37" s="166">
        <v>0.15333333333333335</v>
      </c>
      <c r="D37" s="167" t="s">
        <v>181</v>
      </c>
      <c r="E37" s="166" t="s">
        <v>181</v>
      </c>
      <c r="F37" s="173">
        <v>0.2</v>
      </c>
      <c r="G37" s="91"/>
      <c r="H37" s="91"/>
    </row>
    <row r="38" spans="1:8" ht="14.5">
      <c r="A38" s="472"/>
      <c r="B38" s="455" t="s">
        <v>114</v>
      </c>
      <c r="C38" s="166">
        <v>0.15000000000000002</v>
      </c>
      <c r="D38" s="167" t="s">
        <v>181</v>
      </c>
      <c r="E38" s="166">
        <v>0.2</v>
      </c>
      <c r="F38" s="173">
        <v>0.2</v>
      </c>
      <c r="G38" s="91"/>
      <c r="H38" s="91"/>
    </row>
    <row r="39" spans="1:8" ht="14.5">
      <c r="A39" s="472"/>
      <c r="B39" s="455" t="s">
        <v>115</v>
      </c>
      <c r="C39" s="166">
        <v>0.14500000000000002</v>
      </c>
      <c r="D39" s="167" t="s">
        <v>181</v>
      </c>
      <c r="E39" s="166">
        <v>0.19500000000000001</v>
      </c>
      <c r="F39" s="173">
        <v>0.2</v>
      </c>
      <c r="G39" s="91"/>
      <c r="H39" s="91"/>
    </row>
    <row r="40" spans="1:8" ht="14.5">
      <c r="A40" s="472"/>
      <c r="B40" s="455" t="s">
        <v>116</v>
      </c>
      <c r="C40" s="166">
        <v>0.15</v>
      </c>
      <c r="D40" s="167">
        <v>0.18</v>
      </c>
      <c r="E40" s="166">
        <v>0.19500000000000001</v>
      </c>
      <c r="F40" s="173">
        <v>0.2</v>
      </c>
      <c r="G40" s="91"/>
      <c r="H40" s="91"/>
    </row>
    <row r="41" spans="1:8" ht="14.5">
      <c r="A41" s="471">
        <v>2014</v>
      </c>
      <c r="B41" s="454" t="s">
        <v>105</v>
      </c>
      <c r="C41" s="170">
        <v>0.15</v>
      </c>
      <c r="D41" s="171">
        <v>0.18</v>
      </c>
      <c r="E41" s="170">
        <v>0.19500000000000001</v>
      </c>
      <c r="F41" s="174">
        <v>0.2</v>
      </c>
      <c r="G41" s="91"/>
      <c r="H41" s="91"/>
    </row>
    <row r="42" spans="1:8" ht="14.5">
      <c r="A42" s="472"/>
      <c r="B42" s="455" t="s">
        <v>106</v>
      </c>
      <c r="C42" s="166">
        <v>0.15</v>
      </c>
      <c r="D42" s="167">
        <v>0.185</v>
      </c>
      <c r="E42" s="166">
        <v>0.19500000000000001</v>
      </c>
      <c r="F42" s="173">
        <v>0.2</v>
      </c>
      <c r="G42" s="91"/>
      <c r="H42" s="91"/>
    </row>
    <row r="43" spans="1:8" ht="14.5">
      <c r="A43" s="472"/>
      <c r="B43" s="455" t="s">
        <v>107</v>
      </c>
      <c r="C43" s="166">
        <v>0.15</v>
      </c>
      <c r="D43" s="167">
        <v>0.185</v>
      </c>
      <c r="E43" s="166">
        <v>0.19666666666666668</v>
      </c>
      <c r="F43" s="173">
        <v>0.2</v>
      </c>
      <c r="G43" s="91"/>
      <c r="H43" s="91"/>
    </row>
    <row r="44" spans="1:8" ht="14.5">
      <c r="A44" s="472"/>
      <c r="B44" s="455" t="s">
        <v>108</v>
      </c>
      <c r="C44" s="166">
        <v>0.155</v>
      </c>
      <c r="D44" s="167">
        <v>0.185</v>
      </c>
      <c r="E44" s="166">
        <v>0.19666666666666668</v>
      </c>
      <c r="F44" s="173">
        <v>0.2</v>
      </c>
      <c r="G44" s="91"/>
      <c r="H44" s="91"/>
    </row>
    <row r="45" spans="1:8" ht="14.5">
      <c r="A45" s="472"/>
      <c r="B45" s="455" t="s">
        <v>109</v>
      </c>
      <c r="C45" s="166">
        <v>0.155</v>
      </c>
      <c r="D45" s="167">
        <v>0.19333333333333333</v>
      </c>
      <c r="E45" s="166">
        <v>0.19666666666666668</v>
      </c>
      <c r="F45" s="173">
        <v>0.2</v>
      </c>
      <c r="G45" s="91"/>
      <c r="H45" s="91"/>
    </row>
    <row r="46" spans="1:8" ht="14.5">
      <c r="A46" s="472"/>
      <c r="B46" s="455" t="s">
        <v>110</v>
      </c>
      <c r="C46" s="166">
        <v>0.16</v>
      </c>
      <c r="D46" s="167">
        <v>0.2</v>
      </c>
      <c r="E46" s="166">
        <v>0.19666666666666668</v>
      </c>
      <c r="F46" s="173">
        <v>0.2</v>
      </c>
      <c r="G46" s="91"/>
      <c r="H46" s="91"/>
    </row>
    <row r="47" spans="1:8" ht="14.5">
      <c r="A47" s="472"/>
      <c r="B47" s="455" t="s">
        <v>117</v>
      </c>
      <c r="C47" s="166">
        <v>0.16</v>
      </c>
      <c r="D47" s="167">
        <v>0.2</v>
      </c>
      <c r="E47" s="166">
        <v>0.20666666666666667</v>
      </c>
      <c r="F47" s="173" t="s">
        <v>181</v>
      </c>
      <c r="G47" s="91"/>
      <c r="H47" s="91"/>
    </row>
    <row r="48" spans="1:8" ht="14.5">
      <c r="A48" s="472"/>
      <c r="B48" s="455" t="s">
        <v>112</v>
      </c>
      <c r="C48" s="166">
        <v>0.16</v>
      </c>
      <c r="D48" s="167">
        <v>0.21</v>
      </c>
      <c r="E48" s="166">
        <v>0.21500000000000002</v>
      </c>
      <c r="F48" s="173">
        <v>0.25</v>
      </c>
      <c r="G48" s="91"/>
      <c r="H48" s="91"/>
    </row>
    <row r="49" spans="1:8" ht="14.5">
      <c r="A49" s="472"/>
      <c r="B49" s="455" t="s">
        <v>113</v>
      </c>
      <c r="C49" s="166">
        <v>0.17</v>
      </c>
      <c r="D49" s="167">
        <v>0.215</v>
      </c>
      <c r="E49" s="166">
        <v>0.21500000000000002</v>
      </c>
      <c r="F49" s="173">
        <v>0.25</v>
      </c>
      <c r="G49" s="91"/>
      <c r="H49" s="91"/>
    </row>
    <row r="50" spans="1:8" ht="14.5">
      <c r="A50" s="472"/>
      <c r="B50" s="455" t="s">
        <v>114</v>
      </c>
      <c r="C50" s="166">
        <v>0.18</v>
      </c>
      <c r="D50" s="167">
        <v>0.215</v>
      </c>
      <c r="E50" s="166">
        <v>0.21500000000000002</v>
      </c>
      <c r="F50" s="173">
        <v>0.25</v>
      </c>
      <c r="G50" s="91"/>
      <c r="H50" s="91"/>
    </row>
    <row r="51" spans="1:8" ht="14.5">
      <c r="A51" s="472"/>
      <c r="B51" s="455" t="s">
        <v>115</v>
      </c>
      <c r="C51" s="166">
        <v>0.19</v>
      </c>
      <c r="D51" s="167">
        <v>0.23</v>
      </c>
      <c r="E51" s="166">
        <v>0.21500000000000002</v>
      </c>
      <c r="F51" s="173">
        <v>0.25</v>
      </c>
      <c r="G51" s="91"/>
      <c r="H51" s="91"/>
    </row>
    <row r="52" spans="1:8" ht="14.5">
      <c r="A52" s="472"/>
      <c r="B52" s="455" t="s">
        <v>116</v>
      </c>
      <c r="C52" s="166">
        <v>0.2</v>
      </c>
      <c r="D52" s="167">
        <v>0.23</v>
      </c>
      <c r="E52" s="166">
        <v>0.37</v>
      </c>
      <c r="F52" s="173">
        <v>0.25</v>
      </c>
      <c r="G52" s="91"/>
      <c r="H52" s="91"/>
    </row>
    <row r="53" spans="1:8" ht="14.5">
      <c r="A53" s="471">
        <v>2015</v>
      </c>
      <c r="B53" s="454" t="s">
        <v>105</v>
      </c>
      <c r="C53" s="170">
        <v>0.21</v>
      </c>
      <c r="D53" s="171">
        <v>0.22999999999999998</v>
      </c>
      <c r="E53" s="170">
        <v>0.37</v>
      </c>
      <c r="F53" s="174">
        <v>0.25</v>
      </c>
      <c r="G53" s="91"/>
      <c r="H53" s="91"/>
    </row>
    <row r="54" spans="1:8" ht="14.5">
      <c r="A54" s="472"/>
      <c r="B54" s="455" t="s">
        <v>106</v>
      </c>
      <c r="C54" s="166" t="s">
        <v>181</v>
      </c>
      <c r="D54" s="167">
        <v>0.22999999999999998</v>
      </c>
      <c r="E54" s="166">
        <v>0.43333333333333335</v>
      </c>
      <c r="F54" s="173">
        <v>0.25</v>
      </c>
      <c r="G54" s="91"/>
      <c r="H54" s="91"/>
    </row>
    <row r="55" spans="1:8" ht="14.5">
      <c r="A55" s="472"/>
      <c r="B55" s="455" t="s">
        <v>107</v>
      </c>
      <c r="C55" s="166">
        <v>0.41</v>
      </c>
      <c r="D55" s="167">
        <v>0.24</v>
      </c>
      <c r="E55" s="166">
        <v>0.43333333333333335</v>
      </c>
      <c r="F55" s="173">
        <v>0.25</v>
      </c>
      <c r="G55" s="91"/>
      <c r="H55" s="91"/>
    </row>
    <row r="56" spans="1:8" ht="14.5">
      <c r="A56" s="472"/>
      <c r="B56" s="455" t="s">
        <v>108</v>
      </c>
      <c r="C56" s="166">
        <v>0.41</v>
      </c>
      <c r="D56" s="167">
        <v>0.24</v>
      </c>
      <c r="E56" s="166">
        <v>0.53500000000000003</v>
      </c>
      <c r="F56" s="173">
        <v>0.52500000000000002</v>
      </c>
      <c r="G56" s="91"/>
      <c r="H56" s="91"/>
    </row>
    <row r="57" spans="1:8" ht="14.5">
      <c r="A57" s="472"/>
      <c r="B57" s="455" t="s">
        <v>109</v>
      </c>
      <c r="C57" s="166">
        <v>0.41</v>
      </c>
      <c r="D57" s="167">
        <v>0.69</v>
      </c>
      <c r="E57" s="166">
        <v>0.53500000000000003</v>
      </c>
      <c r="F57" s="173">
        <v>0.52500000000000002</v>
      </c>
      <c r="G57" s="91"/>
      <c r="H57" s="91"/>
    </row>
    <row r="58" spans="1:8" ht="14.5">
      <c r="A58" s="472"/>
      <c r="B58" s="455" t="s">
        <v>110</v>
      </c>
      <c r="C58" s="166">
        <v>0.63</v>
      </c>
      <c r="D58" s="167">
        <v>0.69</v>
      </c>
      <c r="E58" s="166">
        <v>0.53500000000000003</v>
      </c>
      <c r="F58" s="173">
        <v>0.52500000000000002</v>
      </c>
      <c r="G58" s="91"/>
      <c r="H58" s="91"/>
    </row>
    <row r="59" spans="1:8" ht="14.5">
      <c r="A59" s="472"/>
      <c r="B59" s="455" t="s">
        <v>117</v>
      </c>
      <c r="C59" s="166">
        <v>0.63</v>
      </c>
      <c r="D59" s="167">
        <v>0.73499999999999999</v>
      </c>
      <c r="E59" s="166">
        <v>0.53500000000000003</v>
      </c>
      <c r="F59" s="173">
        <v>0.52500000000000002</v>
      </c>
      <c r="G59" s="91"/>
      <c r="H59" s="91"/>
    </row>
    <row r="60" spans="1:8" ht="14.5">
      <c r="A60" s="472"/>
      <c r="B60" s="455" t="s">
        <v>112</v>
      </c>
      <c r="C60" s="166">
        <v>0.63</v>
      </c>
      <c r="D60" s="167">
        <v>0.73499999999999999</v>
      </c>
      <c r="E60" s="166">
        <v>0.6333333333333333</v>
      </c>
      <c r="F60" s="173">
        <v>0.8</v>
      </c>
      <c r="G60" s="91"/>
      <c r="H60" s="91"/>
    </row>
    <row r="61" spans="1:8" ht="14.5">
      <c r="A61" s="472"/>
      <c r="B61" s="455" t="s">
        <v>113</v>
      </c>
      <c r="C61" s="166">
        <v>0.8</v>
      </c>
      <c r="D61" s="167">
        <v>0.73499999999999999</v>
      </c>
      <c r="E61" s="166">
        <v>0.69500000000000006</v>
      </c>
      <c r="F61" s="173">
        <v>0.8</v>
      </c>
      <c r="G61" s="91"/>
      <c r="H61" s="91"/>
    </row>
    <row r="62" spans="1:8" ht="14.5">
      <c r="A62" s="472"/>
      <c r="B62" s="455" t="s">
        <v>114</v>
      </c>
      <c r="C62" s="166">
        <v>0.8</v>
      </c>
      <c r="D62" s="167">
        <v>0.73499999999999999</v>
      </c>
      <c r="E62" s="166">
        <v>0.69500000000000006</v>
      </c>
      <c r="F62" s="173">
        <v>0.91500000000000004</v>
      </c>
      <c r="G62" s="91"/>
      <c r="H62" s="91"/>
    </row>
    <row r="63" spans="1:8" ht="14.5">
      <c r="A63" s="472"/>
      <c r="B63" s="455" t="s">
        <v>115</v>
      </c>
      <c r="C63" s="166">
        <v>0.8</v>
      </c>
      <c r="D63" s="167">
        <v>0.96499999999999997</v>
      </c>
      <c r="E63" s="166">
        <v>0.83</v>
      </c>
      <c r="F63" s="173">
        <v>0.91500000000000004</v>
      </c>
      <c r="G63" s="91"/>
      <c r="H63" s="91"/>
    </row>
    <row r="64" spans="1:8" ht="14.5">
      <c r="A64" s="472"/>
      <c r="B64" s="455" t="s">
        <v>116</v>
      </c>
      <c r="C64" s="166">
        <v>0.95</v>
      </c>
      <c r="D64" s="167">
        <v>0.96499999999999997</v>
      </c>
      <c r="E64" s="166">
        <v>0.83</v>
      </c>
      <c r="F64" s="173">
        <v>0.91500000000000004</v>
      </c>
      <c r="G64" s="91"/>
      <c r="H64" s="91"/>
    </row>
    <row r="65" spans="1:8" ht="14.5">
      <c r="A65" s="471">
        <v>2016</v>
      </c>
      <c r="B65" s="454" t="s">
        <v>105</v>
      </c>
      <c r="C65" s="170">
        <v>0.96499999999999997</v>
      </c>
      <c r="D65" s="171">
        <v>1.1499999999999999</v>
      </c>
      <c r="E65" s="170">
        <v>0.83</v>
      </c>
      <c r="F65" s="174">
        <v>0.91500000000000004</v>
      </c>
      <c r="G65" s="91"/>
      <c r="H65" s="91"/>
    </row>
    <row r="66" spans="1:8" ht="14.5">
      <c r="A66" s="472"/>
      <c r="B66" s="455" t="s">
        <v>106</v>
      </c>
      <c r="C66" s="166">
        <v>0.97333333333333327</v>
      </c>
      <c r="D66" s="167">
        <v>1.1499999999999999</v>
      </c>
      <c r="E66" s="166">
        <v>0.83</v>
      </c>
      <c r="F66" s="173">
        <v>0.91500000000000004</v>
      </c>
      <c r="G66" s="91"/>
      <c r="H66" s="91"/>
    </row>
    <row r="67" spans="1:8" ht="14.5">
      <c r="A67" s="472"/>
      <c r="B67" s="455" t="s">
        <v>107</v>
      </c>
      <c r="C67" s="166">
        <v>0.98499999999999999</v>
      </c>
      <c r="D67" s="167">
        <v>1.075</v>
      </c>
      <c r="E67" s="166">
        <v>0.83</v>
      </c>
      <c r="F67" s="173">
        <v>0.91500000000000004</v>
      </c>
      <c r="G67" s="91"/>
      <c r="H67" s="91"/>
    </row>
    <row r="68" spans="1:8" ht="14.5">
      <c r="A68" s="472"/>
      <c r="B68" s="455" t="s">
        <v>108</v>
      </c>
      <c r="C68" s="166">
        <v>0.88500000000000001</v>
      </c>
      <c r="D68" s="167">
        <v>1.075</v>
      </c>
      <c r="E68" s="166">
        <v>0.83</v>
      </c>
      <c r="F68" s="173">
        <v>1.03</v>
      </c>
      <c r="G68" s="91"/>
      <c r="H68" s="91"/>
    </row>
    <row r="69" spans="1:8" ht="14.5">
      <c r="A69" s="472"/>
      <c r="B69" s="455" t="s">
        <v>109</v>
      </c>
      <c r="C69" s="166">
        <v>0.78</v>
      </c>
      <c r="D69" s="167">
        <v>1</v>
      </c>
      <c r="E69" s="166">
        <v>0.9375</v>
      </c>
      <c r="F69" s="173">
        <v>1.03</v>
      </c>
      <c r="G69" s="91"/>
      <c r="H69" s="91"/>
    </row>
    <row r="70" spans="1:8" ht="14.5">
      <c r="A70" s="472"/>
      <c r="B70" s="455" t="s">
        <v>110</v>
      </c>
      <c r="C70" s="166">
        <v>0.79625000000000001</v>
      </c>
      <c r="D70" s="167">
        <v>1</v>
      </c>
      <c r="E70" s="166">
        <v>0.9375</v>
      </c>
      <c r="F70" s="173">
        <v>1.03</v>
      </c>
      <c r="G70" s="91"/>
      <c r="H70" s="91"/>
    </row>
    <row r="71" spans="1:8" ht="14.5">
      <c r="A71" s="472"/>
      <c r="B71" s="455" t="s">
        <v>117</v>
      </c>
      <c r="C71" s="166">
        <v>0.71875</v>
      </c>
      <c r="D71" s="167">
        <v>1</v>
      </c>
      <c r="E71" s="166">
        <v>0.9375</v>
      </c>
      <c r="F71" s="173">
        <v>1.03</v>
      </c>
      <c r="G71" s="91"/>
      <c r="H71" s="91"/>
    </row>
    <row r="72" spans="1:8" ht="14.5">
      <c r="A72" s="472"/>
      <c r="B72" s="455" t="s">
        <v>112</v>
      </c>
      <c r="C72" s="166">
        <v>0.70833333333333337</v>
      </c>
      <c r="D72" s="167">
        <v>0.90625</v>
      </c>
      <c r="E72" s="166">
        <v>0.9375</v>
      </c>
      <c r="F72" s="173">
        <v>1.03</v>
      </c>
      <c r="G72" s="91"/>
      <c r="H72" s="91"/>
    </row>
    <row r="73" spans="1:8" ht="14.5">
      <c r="A73" s="472"/>
      <c r="B73" s="455" t="s">
        <v>113</v>
      </c>
      <c r="C73" s="166">
        <v>0.65625</v>
      </c>
      <c r="D73" s="167">
        <v>0.78125</v>
      </c>
      <c r="E73" s="166">
        <v>0.9375</v>
      </c>
      <c r="F73" s="173">
        <v>1.03</v>
      </c>
      <c r="G73" s="91"/>
      <c r="H73" s="91"/>
    </row>
    <row r="74" spans="1:8" ht="14.5">
      <c r="A74" s="472"/>
      <c r="B74" s="455" t="s">
        <v>114</v>
      </c>
      <c r="C74" s="166">
        <v>0.68799999999999994</v>
      </c>
      <c r="D74" s="167">
        <v>0.78100000000000003</v>
      </c>
      <c r="E74" s="166">
        <v>0.93799999999999994</v>
      </c>
      <c r="F74" s="173">
        <v>1.0780000000000001</v>
      </c>
      <c r="G74" s="91"/>
      <c r="H74" s="91"/>
    </row>
    <row r="75" spans="1:8" ht="14.5">
      <c r="A75" s="472"/>
      <c r="B75" s="455" t="s">
        <v>115</v>
      </c>
      <c r="C75" s="166">
        <v>0.56299999999999994</v>
      </c>
      <c r="D75" s="167">
        <v>0.78100000000000003</v>
      </c>
      <c r="E75" s="166">
        <v>0.875</v>
      </c>
      <c r="F75" s="173">
        <v>1.0780000000000001</v>
      </c>
      <c r="G75" s="91"/>
      <c r="H75" s="91"/>
    </row>
    <row r="76" spans="1:8" ht="14.5">
      <c r="A76" s="472"/>
      <c r="B76" s="455" t="s">
        <v>116</v>
      </c>
      <c r="C76" s="166">
        <v>0.56299999999999994</v>
      </c>
      <c r="D76" s="167">
        <v>0.78100000000000003</v>
      </c>
      <c r="E76" s="166">
        <v>0.875</v>
      </c>
      <c r="F76" s="173">
        <v>1.0780000000000001</v>
      </c>
      <c r="G76" s="91"/>
      <c r="H76" s="91"/>
    </row>
    <row r="77" spans="1:8" ht="14.5">
      <c r="A77" s="471">
        <v>2017</v>
      </c>
      <c r="B77" s="454" t="s">
        <v>105</v>
      </c>
      <c r="C77" s="170">
        <v>0.5625</v>
      </c>
      <c r="D77" s="171">
        <v>0.78125</v>
      </c>
      <c r="E77" s="170">
        <v>0.875</v>
      </c>
      <c r="F77" s="174">
        <v>1.0775000000000001</v>
      </c>
      <c r="G77" s="91"/>
      <c r="H77" s="91"/>
    </row>
    <row r="78" spans="1:8" ht="14.5">
      <c r="A78" s="472"/>
      <c r="B78" s="455" t="s">
        <v>106</v>
      </c>
      <c r="C78" s="166">
        <v>0.5625</v>
      </c>
      <c r="D78" s="167">
        <v>0.75</v>
      </c>
      <c r="E78" s="166">
        <v>0.8125</v>
      </c>
      <c r="F78" s="173">
        <v>1.0775000000000001</v>
      </c>
      <c r="G78" s="91"/>
      <c r="H78" s="91"/>
    </row>
    <row r="79" spans="1:8" ht="14.5">
      <c r="A79" s="472"/>
      <c r="B79" s="455" t="s">
        <v>107</v>
      </c>
      <c r="C79" s="166">
        <v>0.5625</v>
      </c>
      <c r="D79" s="167">
        <v>0.6875</v>
      </c>
      <c r="E79" s="166">
        <v>0.8125</v>
      </c>
      <c r="F79" s="173">
        <v>1.0775000000000001</v>
      </c>
      <c r="G79" s="91"/>
      <c r="H79" s="91"/>
    </row>
    <row r="80" spans="1:8" ht="14.5">
      <c r="A80" s="472"/>
      <c r="B80" s="455" t="s">
        <v>108</v>
      </c>
      <c r="C80" s="166">
        <v>0.5625</v>
      </c>
      <c r="D80" s="167">
        <v>0.6875</v>
      </c>
      <c r="E80" s="166">
        <v>0.8125</v>
      </c>
      <c r="F80" s="173">
        <v>1</v>
      </c>
      <c r="G80" s="91"/>
      <c r="H80" s="91"/>
    </row>
    <row r="81" spans="1:8" ht="14.5">
      <c r="A81" s="472"/>
      <c r="B81" s="455" t="s">
        <v>109</v>
      </c>
      <c r="C81" s="166">
        <v>0.625</v>
      </c>
      <c r="D81" s="167">
        <v>0.6875</v>
      </c>
      <c r="E81" s="166">
        <v>0.8125</v>
      </c>
      <c r="F81" s="173">
        <v>1</v>
      </c>
      <c r="G81" s="91"/>
      <c r="H81" s="91"/>
    </row>
    <row r="82" spans="1:8" ht="14.5">
      <c r="A82" s="472"/>
      <c r="B82" s="455" t="s">
        <v>110</v>
      </c>
      <c r="C82" s="166">
        <v>0.625</v>
      </c>
      <c r="D82" s="167">
        <v>0.6875</v>
      </c>
      <c r="E82" s="166">
        <v>0.8125</v>
      </c>
      <c r="F82" s="173">
        <v>1</v>
      </c>
      <c r="G82" s="91"/>
      <c r="H82" s="91"/>
    </row>
    <row r="83" spans="1:8" ht="14.5">
      <c r="A83" s="472"/>
      <c r="B83" s="455" t="s">
        <v>117</v>
      </c>
      <c r="C83" s="166">
        <v>0.60416666666666663</v>
      </c>
      <c r="D83" s="167">
        <v>0.6875</v>
      </c>
      <c r="E83" s="166">
        <v>0.8125</v>
      </c>
      <c r="F83" s="173">
        <v>1</v>
      </c>
      <c r="G83" s="91"/>
      <c r="H83" s="91"/>
    </row>
    <row r="84" spans="1:8" ht="14.5">
      <c r="A84" s="472"/>
      <c r="B84" s="455" t="s">
        <v>112</v>
      </c>
      <c r="C84" s="166">
        <v>0.59375</v>
      </c>
      <c r="D84" s="167">
        <v>0.6875</v>
      </c>
      <c r="E84" s="166">
        <v>0.8125</v>
      </c>
      <c r="F84" s="173">
        <v>1</v>
      </c>
      <c r="G84" s="91"/>
      <c r="H84" s="91"/>
    </row>
    <row r="85" spans="1:8" ht="14.5">
      <c r="A85" s="472"/>
      <c r="B85" s="455" t="s">
        <v>113</v>
      </c>
      <c r="C85" s="166">
        <v>0.6875</v>
      </c>
      <c r="D85" s="167" t="s">
        <v>181</v>
      </c>
      <c r="E85" s="166">
        <v>0.8125</v>
      </c>
      <c r="F85" s="173">
        <v>1</v>
      </c>
      <c r="G85" s="91"/>
      <c r="H85" s="91"/>
    </row>
    <row r="86" spans="1:8" ht="14.5">
      <c r="A86" s="472"/>
      <c r="B86" s="455" t="s">
        <v>186</v>
      </c>
      <c r="C86" s="166">
        <v>0.84379999999999999</v>
      </c>
      <c r="D86" s="167" t="s">
        <v>181</v>
      </c>
      <c r="E86" s="166">
        <v>0.8125</v>
      </c>
      <c r="F86" s="173">
        <v>1.0313000000000001</v>
      </c>
      <c r="G86" s="91"/>
      <c r="H86" s="91"/>
    </row>
    <row r="87" spans="1:8" ht="14.5">
      <c r="A87" s="472"/>
      <c r="B87" s="455" t="s">
        <v>115</v>
      </c>
      <c r="C87" s="166">
        <v>0.84379999999999999</v>
      </c>
      <c r="D87" s="167" t="s">
        <v>181</v>
      </c>
      <c r="E87" s="166">
        <v>0.8125</v>
      </c>
      <c r="F87" s="173">
        <v>1.0313000000000001</v>
      </c>
      <c r="G87" s="91"/>
      <c r="H87" s="91"/>
    </row>
    <row r="88" spans="1:8" ht="14.5">
      <c r="A88" s="472"/>
      <c r="B88" s="455" t="s">
        <v>116</v>
      </c>
      <c r="C88" s="166">
        <v>0.84379999999999999</v>
      </c>
      <c r="D88" s="167" t="s">
        <v>181</v>
      </c>
      <c r="E88" s="166">
        <v>0.8125</v>
      </c>
      <c r="F88" s="173">
        <v>1.0313000000000001</v>
      </c>
      <c r="G88" s="91"/>
      <c r="H88" s="91"/>
    </row>
    <row r="89" spans="1:8" ht="14.5">
      <c r="A89" s="471">
        <v>2018</v>
      </c>
      <c r="B89" s="454" t="s">
        <v>105</v>
      </c>
      <c r="C89" s="170">
        <v>0.84379999999999999</v>
      </c>
      <c r="D89" s="171" t="s">
        <v>181</v>
      </c>
      <c r="E89" s="170">
        <v>0.8125</v>
      </c>
      <c r="F89" s="174">
        <v>1.0313000000000001</v>
      </c>
      <c r="G89" s="91"/>
      <c r="H89" s="91"/>
    </row>
    <row r="90" spans="1:8" ht="14.5">
      <c r="A90" s="472"/>
      <c r="B90" s="455" t="s">
        <v>106</v>
      </c>
      <c r="C90" s="166">
        <v>0.875</v>
      </c>
      <c r="D90" s="167" t="s">
        <v>181</v>
      </c>
      <c r="E90" s="166">
        <v>0.8125</v>
      </c>
      <c r="F90" s="173">
        <v>1.03125</v>
      </c>
      <c r="G90" s="91"/>
      <c r="H90" s="91"/>
    </row>
    <row r="91" spans="1:8" ht="14.5">
      <c r="A91" s="472"/>
      <c r="B91" s="455" t="s">
        <v>107</v>
      </c>
      <c r="C91" s="166">
        <v>0.875</v>
      </c>
      <c r="D91" s="167" t="s">
        <v>181</v>
      </c>
      <c r="E91" s="166">
        <v>0.8125</v>
      </c>
      <c r="F91" s="173">
        <v>1.0833333333333333</v>
      </c>
      <c r="G91" s="91"/>
      <c r="H91" s="91"/>
    </row>
    <row r="92" spans="1:8" ht="14.5">
      <c r="A92" s="472"/>
      <c r="B92" s="455" t="s">
        <v>108</v>
      </c>
      <c r="C92" s="166">
        <v>0.90625</v>
      </c>
      <c r="D92" s="167" t="s">
        <v>181</v>
      </c>
      <c r="E92" s="166">
        <v>0.8125</v>
      </c>
      <c r="F92" s="173">
        <v>1.1875</v>
      </c>
      <c r="G92" s="91"/>
      <c r="H92" s="91"/>
    </row>
    <row r="93" spans="1:8" ht="14.5">
      <c r="A93" s="472"/>
      <c r="B93" s="455" t="s">
        <v>109</v>
      </c>
      <c r="C93" s="166">
        <v>0.96879999999999999</v>
      </c>
      <c r="D93" s="167" t="s">
        <v>181</v>
      </c>
      <c r="E93" s="166" t="s">
        <v>181</v>
      </c>
      <c r="F93" s="173">
        <v>1.1875</v>
      </c>
      <c r="G93" s="91"/>
      <c r="H93" s="91"/>
    </row>
    <row r="94" spans="1:8" ht="14.5">
      <c r="A94" s="472"/>
      <c r="B94" s="455" t="s">
        <v>110</v>
      </c>
      <c r="C94" s="166">
        <v>0.96875</v>
      </c>
      <c r="D94" s="167" t="s">
        <v>181</v>
      </c>
      <c r="E94" s="166" t="s">
        <v>181</v>
      </c>
      <c r="F94" s="173">
        <v>1.2083333333333333</v>
      </c>
      <c r="G94" s="91"/>
      <c r="H94" s="91"/>
    </row>
    <row r="95" spans="1:8" ht="14.5">
      <c r="A95" s="472"/>
      <c r="B95" s="455" t="s">
        <v>117</v>
      </c>
      <c r="C95" s="166">
        <v>1</v>
      </c>
      <c r="D95" s="166" t="s">
        <v>181</v>
      </c>
      <c r="E95" s="166" t="s">
        <v>181</v>
      </c>
      <c r="F95" s="166">
        <v>1.2083333333333333</v>
      </c>
      <c r="G95" s="91"/>
      <c r="H95" s="91"/>
    </row>
    <row r="96" spans="1:8" ht="14.5">
      <c r="A96" s="472"/>
      <c r="B96" s="455" t="s">
        <v>112</v>
      </c>
      <c r="C96" s="166">
        <v>1.15625</v>
      </c>
      <c r="D96" s="166" t="s">
        <v>181</v>
      </c>
      <c r="E96" s="166" t="s">
        <v>181</v>
      </c>
      <c r="F96" s="166">
        <v>1.2083333333333333</v>
      </c>
      <c r="G96" s="91"/>
      <c r="H96" s="91"/>
    </row>
    <row r="97" spans="1:8" ht="14.5">
      <c r="A97" s="472"/>
      <c r="B97" s="455" t="s">
        <v>113</v>
      </c>
      <c r="C97" s="166">
        <v>1.15625</v>
      </c>
      <c r="D97" s="166" t="s">
        <v>181</v>
      </c>
      <c r="E97" s="166" t="s">
        <v>181</v>
      </c>
      <c r="F97" s="166">
        <v>1.2813000000000001</v>
      </c>
      <c r="G97" s="91"/>
      <c r="H97" s="91"/>
    </row>
    <row r="98" spans="1:8" ht="14.5">
      <c r="A98" s="472"/>
      <c r="B98" s="455" t="s">
        <v>114</v>
      </c>
      <c r="C98" s="166">
        <v>1.3125</v>
      </c>
      <c r="D98" s="166" t="s">
        <v>181</v>
      </c>
      <c r="E98" s="166" t="s">
        <v>181</v>
      </c>
      <c r="F98" s="166">
        <v>1.3125</v>
      </c>
      <c r="G98" s="91"/>
      <c r="H98" s="91"/>
    </row>
    <row r="99" spans="1:8" ht="14.5">
      <c r="A99" s="472"/>
      <c r="B99" s="455" t="s">
        <v>115</v>
      </c>
      <c r="C99" s="166">
        <v>1.3438000000000001</v>
      </c>
      <c r="D99" s="166" t="s">
        <v>181</v>
      </c>
      <c r="E99" s="166" t="s">
        <v>181</v>
      </c>
      <c r="F99" s="166">
        <v>1.3125</v>
      </c>
      <c r="G99" s="91"/>
      <c r="H99" s="91"/>
    </row>
    <row r="100" spans="1:8" ht="14.5">
      <c r="A100" s="473"/>
      <c r="B100" s="456" t="s">
        <v>116</v>
      </c>
      <c r="C100" s="168">
        <v>1.3438000000000001</v>
      </c>
      <c r="D100" s="168" t="s">
        <v>181</v>
      </c>
      <c r="E100" s="168" t="s">
        <v>181</v>
      </c>
      <c r="F100" s="168">
        <v>1.4218999999999999</v>
      </c>
      <c r="G100" s="91"/>
      <c r="H100" s="91"/>
    </row>
    <row r="101" spans="1:8" ht="14.5">
      <c r="A101" s="471">
        <v>2019</v>
      </c>
      <c r="B101" s="454" t="s">
        <v>105</v>
      </c>
      <c r="C101" s="171">
        <v>1.4688000000000001</v>
      </c>
      <c r="D101" s="170" t="s">
        <v>181</v>
      </c>
      <c r="E101" s="170" t="s">
        <v>181</v>
      </c>
      <c r="F101" s="170">
        <v>1.4218999999999999</v>
      </c>
      <c r="G101" s="91"/>
      <c r="H101" s="91"/>
    </row>
    <row r="102" spans="1:8" ht="14.5">
      <c r="A102" s="472"/>
      <c r="B102" s="455" t="s">
        <v>106</v>
      </c>
      <c r="C102" s="167">
        <v>1.625</v>
      </c>
      <c r="D102" s="166" t="s">
        <v>181</v>
      </c>
      <c r="E102" s="166" t="s">
        <v>181</v>
      </c>
      <c r="F102" s="166">
        <v>1.4218999999999999</v>
      </c>
      <c r="G102" s="91"/>
      <c r="H102" s="91"/>
    </row>
    <row r="103" spans="1:8" ht="14.5">
      <c r="A103" s="472"/>
      <c r="B103" s="455" t="s">
        <v>107</v>
      </c>
      <c r="C103" s="167">
        <v>1.625</v>
      </c>
      <c r="D103" s="166" t="s">
        <v>181</v>
      </c>
      <c r="E103" s="166" t="s">
        <v>181</v>
      </c>
      <c r="F103" s="166">
        <v>1.5781000000000001</v>
      </c>
      <c r="G103" s="91"/>
      <c r="H103" s="91"/>
    </row>
    <row r="104" spans="1:8" ht="14.5">
      <c r="A104" s="472"/>
      <c r="B104" s="455" t="s">
        <v>108</v>
      </c>
      <c r="C104" s="167">
        <v>1.6563000000000001</v>
      </c>
      <c r="D104" s="166" t="s">
        <v>181</v>
      </c>
      <c r="E104" s="166" t="s">
        <v>181</v>
      </c>
      <c r="F104" s="166">
        <v>1.5781000000000001</v>
      </c>
      <c r="G104" s="91"/>
      <c r="H104" s="91"/>
    </row>
    <row r="105" spans="1:8" ht="14.5">
      <c r="A105" s="472"/>
      <c r="B105" s="455" t="s">
        <v>109</v>
      </c>
      <c r="C105" s="167">
        <v>1.6563000000000001</v>
      </c>
      <c r="D105" s="166" t="s">
        <v>181</v>
      </c>
      <c r="E105" s="166" t="s">
        <v>181</v>
      </c>
      <c r="F105" s="166">
        <v>1.5781000000000001</v>
      </c>
      <c r="G105" s="91"/>
      <c r="H105" s="91"/>
    </row>
    <row r="106" spans="1:8" ht="14.5">
      <c r="A106" s="472"/>
      <c r="B106" s="455" t="s">
        <v>110</v>
      </c>
      <c r="C106" s="167">
        <v>1.65625</v>
      </c>
      <c r="D106" s="166" t="s">
        <v>181</v>
      </c>
      <c r="E106" s="166" t="s">
        <v>181</v>
      </c>
      <c r="F106" s="166">
        <v>1.671875</v>
      </c>
      <c r="G106" s="91"/>
      <c r="H106" s="91"/>
    </row>
    <row r="107" spans="1:8" ht="14.5">
      <c r="A107" s="472"/>
      <c r="B107" s="455" t="s">
        <v>117</v>
      </c>
      <c r="C107" s="167">
        <v>1.6563000000000001</v>
      </c>
      <c r="D107" s="166" t="s">
        <v>181</v>
      </c>
      <c r="E107" s="166" t="s">
        <v>181</v>
      </c>
      <c r="F107" s="166">
        <v>1.6718999999999999</v>
      </c>
      <c r="G107" s="91"/>
      <c r="H107" s="91"/>
    </row>
    <row r="108" spans="1:8" ht="14.5">
      <c r="A108" s="472"/>
      <c r="B108" s="455" t="s">
        <v>112</v>
      </c>
      <c r="C108" s="167">
        <v>1.5</v>
      </c>
      <c r="D108" s="166" t="s">
        <v>181</v>
      </c>
      <c r="E108" s="166" t="s">
        <v>181</v>
      </c>
      <c r="F108" s="166">
        <v>1.6718999999999999</v>
      </c>
      <c r="G108" s="91"/>
      <c r="H108" s="91"/>
    </row>
    <row r="109" spans="1:8" ht="14.5">
      <c r="A109" s="472"/>
      <c r="B109" s="455" t="s">
        <v>113</v>
      </c>
      <c r="C109" s="166">
        <v>1.5</v>
      </c>
      <c r="D109" s="166" t="s">
        <v>181</v>
      </c>
      <c r="E109" s="166" t="s">
        <v>181</v>
      </c>
      <c r="F109" s="166">
        <v>1.7031000000000001</v>
      </c>
      <c r="G109" s="91"/>
      <c r="H109" s="91"/>
    </row>
    <row r="110" spans="1:8" ht="14.5">
      <c r="A110" s="472"/>
      <c r="B110" s="455" t="s">
        <v>114</v>
      </c>
      <c r="C110" s="167">
        <v>1.375</v>
      </c>
      <c r="D110" s="166" t="s">
        <v>181</v>
      </c>
      <c r="E110" s="166" t="s">
        <v>181</v>
      </c>
      <c r="F110" s="166">
        <v>1.7031000000000001</v>
      </c>
      <c r="G110" s="91"/>
      <c r="H110" s="91"/>
    </row>
    <row r="111" spans="1:8" ht="14.5">
      <c r="A111" s="472"/>
      <c r="B111" s="455" t="s">
        <v>115</v>
      </c>
      <c r="C111" s="166">
        <v>1.4063000000000001</v>
      </c>
      <c r="D111" s="166" t="s">
        <v>181</v>
      </c>
      <c r="E111" s="166" t="s">
        <v>181</v>
      </c>
      <c r="F111" s="166">
        <v>1.7031000000000001</v>
      </c>
      <c r="G111" s="91"/>
      <c r="H111" s="91"/>
    </row>
    <row r="112" spans="1:8" ht="14.5">
      <c r="A112" s="481"/>
      <c r="B112" s="456" t="s">
        <v>116</v>
      </c>
      <c r="C112" s="169">
        <v>1.4063000000000001</v>
      </c>
      <c r="D112" s="168" t="s">
        <v>181</v>
      </c>
      <c r="E112" s="168" t="s">
        <v>181</v>
      </c>
      <c r="F112" s="168">
        <v>1.5468999999999999</v>
      </c>
      <c r="G112" s="91"/>
      <c r="H112" s="91"/>
    </row>
    <row r="113" spans="1:8" ht="14.5">
      <c r="A113" s="471">
        <v>2020</v>
      </c>
      <c r="B113" s="454" t="s">
        <v>105</v>
      </c>
      <c r="C113" s="170">
        <v>1.4063000000000001</v>
      </c>
      <c r="D113" s="170" t="s">
        <v>181</v>
      </c>
      <c r="E113" s="170" t="s">
        <v>181</v>
      </c>
      <c r="F113" s="170">
        <v>1.5468999999999999</v>
      </c>
      <c r="G113" s="91"/>
      <c r="H113" s="91"/>
    </row>
    <row r="114" spans="1:8" ht="14.5">
      <c r="A114" s="472"/>
      <c r="B114" s="455" t="s">
        <v>106</v>
      </c>
      <c r="C114" s="166">
        <v>1.25</v>
      </c>
      <c r="D114" s="166" t="s">
        <v>181</v>
      </c>
      <c r="E114" s="166" t="s">
        <v>181</v>
      </c>
      <c r="F114" s="166">
        <v>1.5468999999999999</v>
      </c>
      <c r="G114" s="91"/>
      <c r="H114" s="91"/>
    </row>
    <row r="115" spans="1:8" ht="14.5">
      <c r="A115" s="472"/>
      <c r="B115" s="455" t="s">
        <v>107</v>
      </c>
      <c r="C115" s="166">
        <v>1.25</v>
      </c>
      <c r="D115" s="166" t="s">
        <v>181</v>
      </c>
      <c r="E115" s="166" t="s">
        <v>181</v>
      </c>
      <c r="F115" s="166">
        <v>1.3593999999999999</v>
      </c>
      <c r="G115" s="91"/>
      <c r="H115" s="91"/>
    </row>
    <row r="116" spans="1:8" ht="14.5">
      <c r="A116" s="472"/>
      <c r="B116" s="455" t="s">
        <v>108</v>
      </c>
      <c r="C116" s="166">
        <v>0.96879999999999999</v>
      </c>
      <c r="D116" s="166" t="s">
        <v>181</v>
      </c>
      <c r="E116" s="166" t="s">
        <v>181</v>
      </c>
      <c r="F116" s="166">
        <v>1.3593999999999999</v>
      </c>
      <c r="G116" s="91"/>
      <c r="H116" s="91"/>
    </row>
    <row r="117" spans="1:8" ht="14.5">
      <c r="A117" s="472"/>
      <c r="B117" s="455" t="s">
        <v>109</v>
      </c>
      <c r="C117" s="166">
        <v>0.59379999999999999</v>
      </c>
      <c r="D117" s="166" t="s">
        <v>181</v>
      </c>
      <c r="E117" s="166" t="s">
        <v>181</v>
      </c>
      <c r="F117" s="166">
        <v>1.3593999999999999</v>
      </c>
      <c r="G117" s="91"/>
      <c r="H117" s="91"/>
    </row>
    <row r="118" spans="1:8" ht="14.5">
      <c r="A118" s="472"/>
      <c r="B118" s="455" t="s">
        <v>110</v>
      </c>
      <c r="C118" s="173">
        <v>0.59379999999999999</v>
      </c>
      <c r="D118" s="166" t="s">
        <v>181</v>
      </c>
      <c r="E118" s="166" t="s">
        <v>181</v>
      </c>
      <c r="F118" s="166">
        <v>1.0156000000000001</v>
      </c>
      <c r="G118" s="91"/>
      <c r="H118" s="91"/>
    </row>
    <row r="119" spans="1:8" ht="14.5">
      <c r="A119" s="472"/>
      <c r="B119" s="455" t="s">
        <v>117</v>
      </c>
      <c r="C119" s="166">
        <v>0.28129999999999999</v>
      </c>
      <c r="D119" s="166" t="s">
        <v>181</v>
      </c>
      <c r="E119" s="166" t="s">
        <v>181</v>
      </c>
      <c r="F119" s="166">
        <v>1.0156000000000001</v>
      </c>
      <c r="G119" s="91"/>
      <c r="H119" s="91"/>
    </row>
    <row r="120" spans="1:8" ht="14.5">
      <c r="A120" s="472"/>
      <c r="B120" s="455" t="s">
        <v>112</v>
      </c>
      <c r="C120" s="173">
        <v>0.1875</v>
      </c>
      <c r="D120" s="166" t="s">
        <v>181</v>
      </c>
      <c r="E120" s="166" t="s">
        <v>181</v>
      </c>
      <c r="F120" s="166">
        <v>1.0156000000000001</v>
      </c>
      <c r="G120" s="91"/>
      <c r="H120" s="91"/>
    </row>
    <row r="121" spans="1:8" ht="14.5">
      <c r="A121" s="472"/>
      <c r="B121" s="455" t="s">
        <v>113</v>
      </c>
      <c r="C121" s="166">
        <v>0.1875</v>
      </c>
      <c r="D121" s="166" t="s">
        <v>181</v>
      </c>
      <c r="E121" s="166" t="s">
        <v>181</v>
      </c>
      <c r="F121" s="166">
        <v>0.67190000000000005</v>
      </c>
      <c r="G121" s="91"/>
      <c r="H121" s="91"/>
    </row>
    <row r="122" spans="1:8" ht="14.5">
      <c r="A122" s="472"/>
      <c r="B122" s="455" t="s">
        <v>114</v>
      </c>
      <c r="C122" s="167">
        <v>0.15629999999999999</v>
      </c>
      <c r="D122" s="166" t="s">
        <v>181</v>
      </c>
      <c r="E122" s="166" t="s">
        <v>181</v>
      </c>
      <c r="F122" s="166">
        <v>0.67190000000000005</v>
      </c>
      <c r="G122" s="91"/>
      <c r="H122" s="91"/>
    </row>
    <row r="123" spans="1:8" ht="14.5">
      <c r="A123" s="472"/>
      <c r="B123" s="455" t="s">
        <v>115</v>
      </c>
      <c r="C123" s="167">
        <v>0.125</v>
      </c>
      <c r="D123" s="166" t="s">
        <v>181</v>
      </c>
      <c r="E123" s="166" t="s">
        <v>181</v>
      </c>
      <c r="F123" s="166">
        <v>0.67190000000000005</v>
      </c>
      <c r="G123" s="91"/>
      <c r="H123" s="91"/>
    </row>
    <row r="124" spans="1:8" ht="14.5">
      <c r="A124" s="473"/>
      <c r="B124" s="456" t="s">
        <v>116</v>
      </c>
      <c r="C124" s="169">
        <v>0.125</v>
      </c>
      <c r="D124" s="168" t="s">
        <v>181</v>
      </c>
      <c r="E124" s="168" t="s">
        <v>181</v>
      </c>
      <c r="F124" s="168">
        <v>0.40629999999999999</v>
      </c>
      <c r="G124" s="91"/>
      <c r="H124" s="91"/>
    </row>
    <row r="125" spans="1:8" ht="14.5">
      <c r="A125" s="471">
        <v>2021</v>
      </c>
      <c r="B125" s="454" t="s">
        <v>105</v>
      </c>
      <c r="C125" s="171">
        <v>6.25E-2</v>
      </c>
      <c r="D125" s="170" t="s">
        <v>181</v>
      </c>
      <c r="E125" s="170" t="s">
        <v>181</v>
      </c>
      <c r="F125" s="170">
        <v>0.40629999999999999</v>
      </c>
      <c r="G125" s="91"/>
      <c r="H125" s="91"/>
    </row>
    <row r="126" spans="1:8" ht="14.5">
      <c r="A126" s="472"/>
      <c r="B126" s="455" t="s">
        <v>106</v>
      </c>
      <c r="C126" s="167">
        <v>0.125</v>
      </c>
      <c r="D126" s="166" t="s">
        <v>181</v>
      </c>
      <c r="E126" s="166" t="s">
        <v>181</v>
      </c>
      <c r="F126" s="166">
        <v>0.40629999999999999</v>
      </c>
      <c r="G126" s="91"/>
      <c r="H126" s="91"/>
    </row>
    <row r="127" spans="1:8" ht="14.5">
      <c r="A127" s="472"/>
      <c r="B127" s="455" t="s">
        <v>107</v>
      </c>
      <c r="C127" s="173">
        <v>0.125</v>
      </c>
      <c r="D127" s="166" t="s">
        <v>181</v>
      </c>
      <c r="E127" s="166" t="s">
        <v>181</v>
      </c>
      <c r="F127" s="166">
        <v>0.21879999999999999</v>
      </c>
      <c r="G127" s="91"/>
      <c r="H127" s="91"/>
    </row>
    <row r="128" spans="1:8" ht="14.5">
      <c r="A128" s="472"/>
      <c r="B128" s="455" t="s">
        <v>108</v>
      </c>
      <c r="C128" s="167">
        <v>0.25</v>
      </c>
      <c r="D128" s="166" t="s">
        <v>181</v>
      </c>
      <c r="E128" s="166" t="s">
        <v>181</v>
      </c>
      <c r="F128" s="166">
        <v>0.21879999999999999</v>
      </c>
      <c r="G128" s="91"/>
      <c r="H128" s="91"/>
    </row>
    <row r="129" spans="1:8" ht="14.5">
      <c r="A129" s="472"/>
      <c r="B129" s="455" t="s">
        <v>109</v>
      </c>
      <c r="C129" s="167">
        <v>0.21879999999999999</v>
      </c>
      <c r="D129" s="166" t="s">
        <v>181</v>
      </c>
      <c r="E129" s="166" t="s">
        <v>181</v>
      </c>
      <c r="F129" s="166">
        <v>0.21879999999999999</v>
      </c>
      <c r="G129" s="91"/>
      <c r="H129" s="91"/>
    </row>
    <row r="130" spans="1:8" ht="14.5">
      <c r="A130" s="472"/>
      <c r="B130" s="455" t="s">
        <v>110</v>
      </c>
      <c r="C130" s="167">
        <v>0.21879999999999999</v>
      </c>
      <c r="D130" s="166" t="s">
        <v>181</v>
      </c>
      <c r="E130" s="166" t="s">
        <v>181</v>
      </c>
      <c r="F130" s="166">
        <v>0.20830000000000001</v>
      </c>
      <c r="G130" s="91"/>
      <c r="H130" s="91"/>
    </row>
    <row r="131" spans="1:8" ht="14.5">
      <c r="A131" s="472"/>
      <c r="B131" s="455" t="s">
        <v>117</v>
      </c>
      <c r="C131" s="167">
        <v>0.1875</v>
      </c>
      <c r="D131" s="166" t="s">
        <v>181</v>
      </c>
      <c r="E131" s="166" t="s">
        <v>181</v>
      </c>
      <c r="F131" s="166">
        <v>0.20833333333333334</v>
      </c>
      <c r="G131" s="91"/>
      <c r="H131" s="91"/>
    </row>
    <row r="132" spans="1:8" ht="14.5">
      <c r="A132" s="472"/>
      <c r="B132" s="455" t="s">
        <v>112</v>
      </c>
      <c r="C132" s="167">
        <v>0.1875</v>
      </c>
      <c r="D132" s="166" t="s">
        <v>181</v>
      </c>
      <c r="E132" s="166" t="s">
        <v>181</v>
      </c>
      <c r="F132" s="166">
        <v>0.20833333333333334</v>
      </c>
      <c r="G132" s="91"/>
      <c r="H132" s="91"/>
    </row>
    <row r="133" spans="1:8" ht="14.5">
      <c r="A133" s="472"/>
      <c r="B133" s="455" t="s">
        <v>113</v>
      </c>
      <c r="C133" s="167">
        <v>0.1875</v>
      </c>
      <c r="D133" s="166" t="s">
        <v>181</v>
      </c>
      <c r="E133" s="166" t="s">
        <v>181</v>
      </c>
      <c r="F133" s="166">
        <v>0.1875</v>
      </c>
      <c r="G133" s="91"/>
      <c r="H133" s="91"/>
    </row>
    <row r="134" spans="1:8" ht="14.5">
      <c r="A134" s="472"/>
      <c r="B134" s="455" t="s">
        <v>114</v>
      </c>
      <c r="C134" s="167">
        <v>0.1875</v>
      </c>
      <c r="D134" s="166" t="s">
        <v>181</v>
      </c>
      <c r="E134" s="166" t="s">
        <v>181</v>
      </c>
      <c r="F134" s="166">
        <v>0.1875</v>
      </c>
      <c r="G134" s="91"/>
      <c r="H134" s="91"/>
    </row>
    <row r="135" spans="1:8" ht="14.5">
      <c r="A135" s="472"/>
      <c r="B135" s="455" t="s">
        <v>115</v>
      </c>
      <c r="C135" s="167">
        <v>0.21879999999999999</v>
      </c>
      <c r="D135" s="166" t="s">
        <v>181</v>
      </c>
      <c r="E135" s="166" t="s">
        <v>181</v>
      </c>
      <c r="F135" s="166">
        <v>0.1875</v>
      </c>
      <c r="G135" s="91"/>
      <c r="H135" s="91"/>
    </row>
    <row r="136" spans="1:8" ht="14.5">
      <c r="A136" s="473"/>
      <c r="B136" s="456" t="s">
        <v>116</v>
      </c>
      <c r="C136" s="322">
        <v>0.21879999999999999</v>
      </c>
      <c r="D136" s="168" t="s">
        <v>181</v>
      </c>
      <c r="E136" s="168" t="s">
        <v>181</v>
      </c>
      <c r="F136" s="168">
        <v>0.25</v>
      </c>
      <c r="G136" s="91"/>
      <c r="H136" s="91"/>
    </row>
    <row r="137" spans="1:8" ht="14.5">
      <c r="A137" s="471">
        <v>2022</v>
      </c>
      <c r="B137" s="454" t="s">
        <v>105</v>
      </c>
      <c r="C137" s="170">
        <v>0.25</v>
      </c>
      <c r="D137" s="170" t="s">
        <v>181</v>
      </c>
      <c r="E137" s="170" t="s">
        <v>181</v>
      </c>
      <c r="F137" s="170">
        <v>0.25</v>
      </c>
      <c r="G137" s="91"/>
      <c r="H137" s="91"/>
    </row>
    <row r="138" spans="1:8" ht="14.5">
      <c r="A138" s="472"/>
      <c r="B138" s="455" t="s">
        <v>106</v>
      </c>
      <c r="C138" s="166">
        <v>0.28129999999999999</v>
      </c>
      <c r="D138" s="166" t="s">
        <v>181</v>
      </c>
      <c r="E138" s="166" t="s">
        <v>181</v>
      </c>
      <c r="F138" s="166">
        <v>0.25</v>
      </c>
      <c r="G138" s="91"/>
      <c r="H138" s="91"/>
    </row>
    <row r="139" spans="1:8" ht="14.5">
      <c r="A139" s="472"/>
      <c r="B139" s="455" t="s">
        <v>107</v>
      </c>
      <c r="C139" s="166">
        <v>0.28129999999999999</v>
      </c>
      <c r="D139" s="166" t="s">
        <v>181</v>
      </c>
      <c r="E139" s="166" t="s">
        <v>181</v>
      </c>
      <c r="F139" s="166">
        <v>0.46879999999999999</v>
      </c>
      <c r="G139" s="91"/>
      <c r="H139" s="91"/>
    </row>
    <row r="140" spans="1:8" ht="14.5">
      <c r="A140" s="472"/>
      <c r="B140" s="455" t="s">
        <v>108</v>
      </c>
      <c r="C140" s="166">
        <v>0.5625</v>
      </c>
      <c r="D140" s="166" t="s">
        <v>181</v>
      </c>
      <c r="E140" s="166" t="s">
        <v>181</v>
      </c>
      <c r="F140" s="166">
        <v>0.46879999999999999</v>
      </c>
      <c r="G140" s="91"/>
      <c r="H140" s="91"/>
    </row>
    <row r="141" spans="1:8" ht="14.5">
      <c r="A141" s="472"/>
      <c r="B141" s="455" t="s">
        <v>109</v>
      </c>
      <c r="C141" s="166">
        <v>0.90629999999999999</v>
      </c>
      <c r="D141" s="166" t="s">
        <v>181</v>
      </c>
      <c r="E141" s="166" t="s">
        <v>181</v>
      </c>
      <c r="F141" s="166">
        <v>0.46879999999999999</v>
      </c>
      <c r="G141" s="91"/>
      <c r="H141" s="91"/>
    </row>
    <row r="142" spans="1:8" ht="14.5">
      <c r="A142" s="472"/>
      <c r="B142" s="455" t="s">
        <v>110</v>
      </c>
      <c r="C142" s="166">
        <v>0.90629999999999999</v>
      </c>
      <c r="D142" s="166" t="s">
        <v>181</v>
      </c>
      <c r="E142" s="166" t="s">
        <v>181</v>
      </c>
      <c r="F142" s="166">
        <v>0.46879999999999999</v>
      </c>
      <c r="G142" s="91"/>
      <c r="H142" s="91"/>
    </row>
    <row r="143" spans="1:8" ht="14.5">
      <c r="A143" s="472"/>
      <c r="B143" s="455" t="s">
        <v>117</v>
      </c>
      <c r="C143" s="166">
        <v>1.3438000000000001</v>
      </c>
      <c r="D143" s="166" t="s">
        <v>181</v>
      </c>
      <c r="E143" s="166" t="s">
        <v>181</v>
      </c>
      <c r="F143" s="166">
        <v>0.46879999999999999</v>
      </c>
      <c r="G143" s="91"/>
      <c r="H143" s="91"/>
    </row>
    <row r="144" spans="1:8" ht="14.5">
      <c r="A144" s="472"/>
      <c r="B144" s="455" t="s">
        <v>112</v>
      </c>
      <c r="C144" s="166">
        <v>1.7188000000000001</v>
      </c>
      <c r="D144" s="166" t="s">
        <v>181</v>
      </c>
      <c r="E144" s="166" t="s">
        <v>181</v>
      </c>
      <c r="F144" s="166">
        <v>0.46879999999999999</v>
      </c>
      <c r="G144" s="91"/>
      <c r="H144" s="91"/>
    </row>
    <row r="145" spans="1:8" ht="14.5">
      <c r="A145" s="472"/>
      <c r="B145" s="455" t="s">
        <v>113</v>
      </c>
      <c r="C145" s="166">
        <v>1.7188000000000001</v>
      </c>
      <c r="D145" s="166" t="s">
        <v>181</v>
      </c>
      <c r="E145" s="166" t="s">
        <v>181</v>
      </c>
      <c r="F145" s="166">
        <v>1.625</v>
      </c>
      <c r="G145" s="91"/>
      <c r="H145" s="91"/>
    </row>
    <row r="146" spans="1:8" ht="14.5">
      <c r="A146" s="472"/>
      <c r="B146" s="455" t="s">
        <v>114</v>
      </c>
      <c r="C146" s="166">
        <v>2.4375</v>
      </c>
      <c r="D146" s="166" t="s">
        <v>181</v>
      </c>
      <c r="E146" s="166" t="s">
        <v>181</v>
      </c>
      <c r="F146" s="166">
        <v>1.625</v>
      </c>
      <c r="G146" s="91"/>
      <c r="H146" s="91"/>
    </row>
    <row r="147" spans="1:8" ht="14.5">
      <c r="A147" s="472"/>
      <c r="B147" s="455" t="s">
        <v>115</v>
      </c>
      <c r="C147" s="166">
        <v>3.375</v>
      </c>
      <c r="D147" s="166" t="s">
        <v>181</v>
      </c>
      <c r="E147" s="166" t="s">
        <v>181</v>
      </c>
      <c r="F147" s="166">
        <v>1.625</v>
      </c>
      <c r="G147" s="91"/>
      <c r="H147" s="91"/>
    </row>
    <row r="148" spans="1:8" ht="14.5">
      <c r="A148" s="481"/>
      <c r="B148" s="456" t="s">
        <v>116</v>
      </c>
      <c r="C148" s="168">
        <v>3.375</v>
      </c>
      <c r="D148" s="168" t="s">
        <v>181</v>
      </c>
      <c r="E148" s="168" t="s">
        <v>181</v>
      </c>
      <c r="F148" s="168">
        <v>1.625</v>
      </c>
      <c r="G148" s="91"/>
      <c r="H148" s="91"/>
    </row>
    <row r="149" spans="1:8" ht="14.5">
      <c r="A149" s="471">
        <v>2023</v>
      </c>
      <c r="B149" s="454" t="s">
        <v>105</v>
      </c>
      <c r="C149" s="170">
        <v>3.625</v>
      </c>
      <c r="D149" s="170" t="s">
        <v>181</v>
      </c>
      <c r="E149" s="170" t="s">
        <v>181</v>
      </c>
      <c r="F149" s="170">
        <v>1.625</v>
      </c>
      <c r="G149" s="91"/>
      <c r="H149" s="91"/>
    </row>
    <row r="150" spans="1:8" ht="14.5">
      <c r="A150" s="472"/>
      <c r="B150" s="455" t="s">
        <v>106</v>
      </c>
      <c r="C150" s="166">
        <v>3.8125</v>
      </c>
      <c r="D150" s="166" t="s">
        <v>181</v>
      </c>
      <c r="E150" s="166" t="s">
        <v>181</v>
      </c>
      <c r="F150" s="166">
        <v>1.625</v>
      </c>
      <c r="G150" s="91"/>
      <c r="H150" s="91"/>
    </row>
    <row r="151" spans="1:8" ht="14.5">
      <c r="A151" s="472"/>
      <c r="B151" s="455" t="s">
        <v>107</v>
      </c>
      <c r="C151" s="166">
        <v>3.8125</v>
      </c>
      <c r="D151" s="166" t="s">
        <v>181</v>
      </c>
      <c r="E151" s="166" t="s">
        <v>181</v>
      </c>
      <c r="F151" s="166">
        <v>3.0937999999999999</v>
      </c>
      <c r="G151" s="91"/>
      <c r="H151" s="91"/>
    </row>
    <row r="152" spans="1:8" ht="14.5">
      <c r="A152" s="472"/>
      <c r="B152" s="455" t="s">
        <v>108</v>
      </c>
      <c r="C152" s="166">
        <v>3.7187999999999999</v>
      </c>
      <c r="D152" s="166" t="s">
        <v>181</v>
      </c>
      <c r="E152" s="166" t="s">
        <v>181</v>
      </c>
      <c r="F152" s="166">
        <v>3.0937999999999999</v>
      </c>
      <c r="G152" s="91"/>
      <c r="H152" s="91"/>
    </row>
    <row r="153" spans="1:8" ht="14.5">
      <c r="A153" s="472"/>
      <c r="B153" s="455" t="s">
        <v>109</v>
      </c>
      <c r="C153" s="166">
        <v>3.5625</v>
      </c>
      <c r="D153" s="166" t="s">
        <v>181</v>
      </c>
      <c r="E153" s="166" t="s">
        <v>181</v>
      </c>
      <c r="F153" s="166">
        <v>3.0937999999999999</v>
      </c>
      <c r="G153" s="91"/>
      <c r="H153" s="91"/>
    </row>
    <row r="154" spans="1:8" ht="14.5">
      <c r="A154" s="472"/>
      <c r="B154" s="455" t="s">
        <v>110</v>
      </c>
      <c r="C154" s="166">
        <v>3.5625</v>
      </c>
      <c r="D154" s="166" t="s">
        <v>181</v>
      </c>
      <c r="E154" s="166" t="s">
        <v>181</v>
      </c>
      <c r="F154" s="166">
        <v>3.1667000000000001</v>
      </c>
      <c r="G154" s="91"/>
      <c r="H154" s="91"/>
    </row>
    <row r="155" spans="1:8" ht="14.5">
      <c r="A155" s="472"/>
      <c r="B155" s="455" t="s">
        <v>117</v>
      </c>
      <c r="C155" s="166">
        <v>3.5937999999999999</v>
      </c>
      <c r="D155" s="166" t="s">
        <v>181</v>
      </c>
      <c r="E155" s="166" t="s">
        <v>181</v>
      </c>
      <c r="F155" s="166">
        <v>3.1667000000000001</v>
      </c>
      <c r="G155" s="91"/>
      <c r="H155" s="91"/>
    </row>
    <row r="156" spans="1:8" ht="14.5">
      <c r="A156" s="472"/>
      <c r="B156" s="455" t="s">
        <v>112</v>
      </c>
      <c r="C156" s="166">
        <v>3.625</v>
      </c>
      <c r="D156" s="166" t="s">
        <v>181</v>
      </c>
      <c r="E156" s="166" t="s">
        <v>181</v>
      </c>
      <c r="F156" s="166">
        <v>3.1667000000000001</v>
      </c>
      <c r="G156" s="91"/>
      <c r="H156" s="91"/>
    </row>
    <row r="157" spans="1:8" ht="14.5">
      <c r="A157" s="472"/>
      <c r="B157" s="455" t="s">
        <v>113</v>
      </c>
      <c r="C157" s="166">
        <v>3.625</v>
      </c>
      <c r="D157" s="166" t="s">
        <v>181</v>
      </c>
      <c r="E157" s="166" t="s">
        <v>181</v>
      </c>
      <c r="F157" s="166">
        <v>3.4375</v>
      </c>
      <c r="G157" s="91"/>
      <c r="H157" s="91"/>
    </row>
    <row r="158" spans="1:8" ht="14.5">
      <c r="A158" s="472"/>
      <c r="B158" s="455" t="s">
        <v>114</v>
      </c>
      <c r="C158" s="166">
        <v>3.625</v>
      </c>
      <c r="D158" s="166" t="s">
        <v>181</v>
      </c>
      <c r="E158" s="166" t="s">
        <v>181</v>
      </c>
      <c r="F158" s="166">
        <v>3.4375</v>
      </c>
      <c r="G158" s="91"/>
      <c r="H158" s="91"/>
    </row>
    <row r="159" spans="1:8" ht="14.5">
      <c r="A159" s="472"/>
      <c r="B159" s="455" t="s">
        <v>115</v>
      </c>
      <c r="C159" s="166">
        <v>3.625</v>
      </c>
      <c r="D159" s="166" t="s">
        <v>181</v>
      </c>
      <c r="E159" s="166" t="s">
        <v>181</v>
      </c>
      <c r="F159" s="166">
        <v>3.4375</v>
      </c>
      <c r="G159" s="91"/>
      <c r="H159" s="91"/>
    </row>
    <row r="160" spans="1:8" ht="14.5">
      <c r="A160" s="473"/>
      <c r="B160" s="456" t="s">
        <v>116</v>
      </c>
      <c r="C160" s="168">
        <v>3.625</v>
      </c>
      <c r="D160" s="168" t="s">
        <v>181</v>
      </c>
      <c r="E160" s="168" t="s">
        <v>181</v>
      </c>
      <c r="F160" s="168">
        <v>3.4375</v>
      </c>
      <c r="G160" s="91"/>
      <c r="H160" s="91"/>
    </row>
    <row r="161" spans="1:8" ht="14.5">
      <c r="A161" s="471">
        <v>2024</v>
      </c>
      <c r="B161" s="454" t="s">
        <v>105</v>
      </c>
      <c r="C161" s="170">
        <v>3.5</v>
      </c>
      <c r="D161" s="170" t="s">
        <v>181</v>
      </c>
      <c r="E161" s="170" t="s">
        <v>181</v>
      </c>
      <c r="F161" s="170">
        <v>3.4375</v>
      </c>
      <c r="G161" s="91"/>
      <c r="H161" s="91"/>
    </row>
    <row r="162" spans="1:8" ht="14.5">
      <c r="A162" s="472"/>
      <c r="B162" s="455" t="s">
        <v>106</v>
      </c>
      <c r="C162" s="166">
        <v>3.5</v>
      </c>
      <c r="D162" s="166" t="s">
        <v>181</v>
      </c>
      <c r="E162" s="166" t="s">
        <v>181</v>
      </c>
      <c r="F162" s="166">
        <v>3.3125</v>
      </c>
      <c r="G162" s="91"/>
      <c r="H162" s="91"/>
    </row>
    <row r="163" spans="1:8" ht="14.5">
      <c r="A163" s="472"/>
      <c r="B163" s="455" t="s">
        <v>107</v>
      </c>
      <c r="C163" s="166">
        <v>3.5</v>
      </c>
      <c r="D163" s="166" t="s">
        <v>181</v>
      </c>
      <c r="E163" s="166" t="s">
        <v>181</v>
      </c>
      <c r="F163" s="166">
        <v>3.3233000000000001</v>
      </c>
      <c r="G163" s="91"/>
      <c r="H163" s="91"/>
    </row>
    <row r="164" spans="1:8" ht="14.5">
      <c r="A164" s="472"/>
      <c r="B164" s="455" t="s">
        <v>108</v>
      </c>
      <c r="C164" s="166">
        <v>3.5625</v>
      </c>
      <c r="D164" s="166" t="s">
        <v>181</v>
      </c>
      <c r="E164" s="166" t="s">
        <v>181</v>
      </c>
      <c r="F164" s="166">
        <v>3.3233000000000001</v>
      </c>
      <c r="G164" s="91"/>
      <c r="H164" s="91"/>
    </row>
    <row r="165" spans="1:8" ht="14.5">
      <c r="A165" s="472"/>
      <c r="B165" s="455" t="s">
        <v>109</v>
      </c>
      <c r="C165" s="166">
        <v>3.5625</v>
      </c>
      <c r="D165" s="166" t="s">
        <v>181</v>
      </c>
      <c r="E165" s="166" t="s">
        <v>181</v>
      </c>
      <c r="F165" s="166">
        <v>3.3233000000000001</v>
      </c>
      <c r="G165" s="91"/>
      <c r="H165" s="91"/>
    </row>
    <row r="166" spans="1:8" ht="14.5">
      <c r="A166" s="472"/>
      <c r="B166" s="455" t="s">
        <v>110</v>
      </c>
      <c r="C166" s="166">
        <v>3.5625</v>
      </c>
      <c r="D166" s="166" t="s">
        <v>181</v>
      </c>
      <c r="E166" s="166" t="s">
        <v>181</v>
      </c>
      <c r="F166" s="166">
        <v>3.3025000000000002</v>
      </c>
      <c r="G166" s="91"/>
      <c r="H166" s="91"/>
    </row>
    <row r="167" spans="1:8" ht="14.5">
      <c r="A167" s="472"/>
      <c r="B167" s="455" t="s">
        <v>117</v>
      </c>
      <c r="C167" s="166">
        <v>3.3437999999999999</v>
      </c>
      <c r="D167" s="166" t="s">
        <v>181</v>
      </c>
      <c r="E167" s="166" t="s">
        <v>181</v>
      </c>
      <c r="F167" s="166">
        <v>3.3125</v>
      </c>
      <c r="G167" s="91"/>
      <c r="H167" s="91"/>
    </row>
    <row r="168" spans="1:8" ht="14.5">
      <c r="A168" s="472"/>
      <c r="B168" s="455" t="s">
        <v>112</v>
      </c>
      <c r="C168" s="166">
        <v>3.125</v>
      </c>
      <c r="D168" s="166" t="s">
        <v>181</v>
      </c>
      <c r="E168" s="166" t="s">
        <v>181</v>
      </c>
      <c r="F168" s="166">
        <v>3.3125</v>
      </c>
      <c r="G168" s="91"/>
      <c r="H168" s="91"/>
    </row>
    <row r="169" spans="1:8" ht="14.5">
      <c r="A169" s="472"/>
      <c r="B169" s="455" t="s">
        <v>113</v>
      </c>
      <c r="C169" s="166">
        <v>3.125</v>
      </c>
      <c r="D169" s="166" t="s">
        <v>181</v>
      </c>
      <c r="E169" s="166" t="s">
        <v>181</v>
      </c>
      <c r="F169" s="166">
        <v>3.0417000000000001</v>
      </c>
      <c r="G169" s="91"/>
      <c r="H169" s="91"/>
    </row>
    <row r="170" spans="1:8" ht="14.5">
      <c r="A170" s="472"/>
      <c r="B170" s="455" t="s">
        <v>114</v>
      </c>
      <c r="C170" s="166">
        <v>2.9687999999999999</v>
      </c>
      <c r="D170" s="166" t="s">
        <v>181</v>
      </c>
      <c r="E170" s="166" t="s">
        <v>181</v>
      </c>
      <c r="F170" s="166">
        <v>3.0417000000000001</v>
      </c>
      <c r="G170" s="91"/>
      <c r="H170" s="91"/>
    </row>
    <row r="171" spans="1:8" ht="14.5">
      <c r="A171" s="472"/>
      <c r="B171" s="455" t="s">
        <v>115</v>
      </c>
      <c r="C171" s="166">
        <v>2.8437999999999999</v>
      </c>
      <c r="D171" s="166" t="s">
        <v>181</v>
      </c>
      <c r="E171" s="166" t="s">
        <v>181</v>
      </c>
      <c r="F171" s="166">
        <v>3.0417000000000001</v>
      </c>
      <c r="G171" s="91"/>
      <c r="H171" s="91"/>
    </row>
    <row r="172" spans="1:8" ht="14.5">
      <c r="A172" s="473"/>
      <c r="B172" s="456" t="s">
        <v>116</v>
      </c>
      <c r="C172" s="168">
        <v>2.8437999999999999</v>
      </c>
      <c r="D172" s="168" t="s">
        <v>181</v>
      </c>
      <c r="E172" s="168" t="s">
        <v>181</v>
      </c>
      <c r="F172" s="168">
        <v>2.8437999999999999</v>
      </c>
      <c r="G172" s="91"/>
      <c r="H172" s="91"/>
    </row>
    <row r="173" spans="1:8" ht="14.5">
      <c r="A173" s="471">
        <v>2025</v>
      </c>
      <c r="B173" s="454" t="s">
        <v>105</v>
      </c>
      <c r="C173" s="170">
        <v>2.7812999999999999</v>
      </c>
      <c r="D173" s="170" t="s">
        <v>181</v>
      </c>
      <c r="E173" s="170" t="s">
        <v>181</v>
      </c>
      <c r="F173" s="170">
        <v>2.8437999999999999</v>
      </c>
      <c r="G173" s="91"/>
      <c r="H173" s="91"/>
    </row>
    <row r="174" spans="1:8" ht="14.5">
      <c r="A174" s="472"/>
      <c r="B174" s="455" t="s">
        <v>106</v>
      </c>
      <c r="C174" s="166">
        <v>2.625</v>
      </c>
      <c r="D174" s="166" t="s">
        <v>181</v>
      </c>
      <c r="E174" s="166" t="s">
        <v>181</v>
      </c>
      <c r="F174" s="166">
        <v>2.8437999999999999</v>
      </c>
      <c r="G174" s="91"/>
      <c r="H174" s="91"/>
    </row>
    <row r="175" spans="1:8" ht="14.5">
      <c r="A175" s="472"/>
      <c r="B175" s="455" t="s">
        <v>107</v>
      </c>
      <c r="C175" s="166">
        <v>2.625</v>
      </c>
      <c r="D175" s="166" t="s">
        <v>181</v>
      </c>
      <c r="E175" s="166" t="s">
        <v>181</v>
      </c>
      <c r="F175" s="166">
        <v>2.5625</v>
      </c>
      <c r="G175" s="91"/>
      <c r="H175" s="91"/>
    </row>
    <row r="176" spans="1:8" ht="14.5">
      <c r="A176" s="472"/>
      <c r="B176" s="455" t="s">
        <v>108</v>
      </c>
      <c r="C176" s="166">
        <v>2.4062999999999999</v>
      </c>
      <c r="D176" s="166" t="s">
        <v>181</v>
      </c>
      <c r="E176" s="166" t="s">
        <v>181</v>
      </c>
      <c r="F176" s="166">
        <v>2.5625</v>
      </c>
      <c r="G176" s="91"/>
      <c r="H176" s="91"/>
    </row>
    <row r="177" spans="1:8" ht="14.5">
      <c r="A177" s="472"/>
      <c r="B177" s="455" t="s">
        <v>109</v>
      </c>
      <c r="C177" s="166">
        <v>2.1875</v>
      </c>
      <c r="D177" s="166" t="s">
        <v>181</v>
      </c>
      <c r="E177" s="166" t="s">
        <v>181</v>
      </c>
      <c r="F177" s="166">
        <v>2.5625</v>
      </c>
      <c r="G177" s="91"/>
      <c r="H177" s="91"/>
    </row>
    <row r="178" spans="1:8" ht="14.5">
      <c r="A178" s="472"/>
      <c r="B178" s="455" t="s">
        <v>110</v>
      </c>
      <c r="C178" s="166">
        <v>2.1875</v>
      </c>
      <c r="D178" s="166" t="s">
        <v>181</v>
      </c>
      <c r="E178" s="166" t="s">
        <v>181</v>
      </c>
      <c r="F178" s="166">
        <v>2.125</v>
      </c>
      <c r="G178" s="91"/>
      <c r="H178" s="91"/>
    </row>
    <row r="179" spans="1:8" ht="14.5">
      <c r="A179" s="472"/>
      <c r="B179" s="455" t="s">
        <v>117</v>
      </c>
      <c r="C179" s="166">
        <v>1.7813000000000001</v>
      </c>
      <c r="D179" s="166" t="s">
        <v>181</v>
      </c>
      <c r="E179" s="166" t="s">
        <v>181</v>
      </c>
      <c r="F179" s="166">
        <v>2.125</v>
      </c>
      <c r="G179" s="91"/>
      <c r="H179" s="91"/>
    </row>
    <row r="180" spans="1:8" ht="14.5">
      <c r="A180" s="472"/>
      <c r="B180" s="455" t="s">
        <v>112</v>
      </c>
      <c r="C180" s="166">
        <v>1.4688000000000001</v>
      </c>
      <c r="D180" s="166" t="s">
        <v>181</v>
      </c>
      <c r="E180" s="166" t="s">
        <v>181</v>
      </c>
      <c r="F180" s="166">
        <v>2.125</v>
      </c>
      <c r="G180" s="91"/>
      <c r="H180" s="91"/>
    </row>
    <row r="181" spans="1:8" ht="14.5">
      <c r="A181" s="473"/>
      <c r="B181" s="456" t="s">
        <v>113</v>
      </c>
      <c r="C181" s="168">
        <v>1.4688000000000001</v>
      </c>
      <c r="D181" s="168" t="s">
        <v>181</v>
      </c>
      <c r="E181" s="168" t="s">
        <v>181</v>
      </c>
      <c r="F181" s="168">
        <v>1.8438000000000001</v>
      </c>
      <c r="G181" s="91"/>
      <c r="H181" s="91"/>
    </row>
    <row r="183" spans="1:8">
      <c r="A183" s="491" t="s">
        <v>118</v>
      </c>
    </row>
    <row r="184" spans="1:8">
      <c r="A184" s="488" t="s">
        <v>168</v>
      </c>
    </row>
  </sheetData>
  <sheetProtection formatCells="0" insertColumns="0" insertRows="0" deleteColumns="0" deleteRows="0"/>
  <mergeCells count="4">
    <mergeCell ref="A2:F2"/>
    <mergeCell ref="A3:B4"/>
    <mergeCell ref="C3:F3"/>
    <mergeCell ref="A1:F1"/>
  </mergeCells>
  <printOptions horizontalCentered="1"/>
  <pageMargins left="0.21" right="0.2" top="1.06"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87"/>
  <sheetViews>
    <sheetView zoomScaleNormal="100" workbookViewId="0">
      <pane xSplit="2" ySplit="4" topLeftCell="C175" activePane="bottomRight" state="frozen"/>
      <selection pane="topRight" activeCell="G153" sqref="G153"/>
      <selection pane="bottomLeft" activeCell="G153" sqref="G153"/>
      <selection pane="bottomRight" sqref="A1:I1"/>
    </sheetView>
  </sheetViews>
  <sheetFormatPr defaultColWidth="9.1796875" defaultRowHeight="13"/>
  <cols>
    <col min="1" max="2" width="6.81640625" style="65" customWidth="1"/>
    <col min="3" max="3" width="10.54296875" style="65" bestFit="1" customWidth="1"/>
    <col min="4" max="4" width="9.1796875" style="65" customWidth="1"/>
    <col min="5" max="5" width="10.81640625" style="65" customWidth="1"/>
    <col min="6" max="6" width="10.1796875" style="65" customWidth="1"/>
    <col min="7" max="7" width="11.1796875" style="65" customWidth="1"/>
    <col min="8" max="8" width="12.1796875" style="65" customWidth="1"/>
    <col min="9" max="9" width="10.81640625" style="65" customWidth="1"/>
    <col min="10" max="10" width="11.1796875" style="65" customWidth="1"/>
    <col min="11" max="11" width="8.81640625" style="65" bestFit="1" customWidth="1"/>
    <col min="12" max="16384" width="9.1796875" style="65"/>
  </cols>
  <sheetData>
    <row r="1" spans="1:11">
      <c r="A1" s="716" t="s">
        <v>187</v>
      </c>
      <c r="B1" s="716"/>
      <c r="C1" s="716"/>
      <c r="D1" s="716"/>
      <c r="E1" s="716"/>
      <c r="F1" s="716"/>
      <c r="G1" s="716"/>
      <c r="H1" s="716"/>
      <c r="I1" s="716"/>
    </row>
    <row r="2" spans="1:11">
      <c r="A2" s="763" t="s">
        <v>97</v>
      </c>
      <c r="B2" s="763"/>
      <c r="C2" s="763"/>
      <c r="D2" s="763"/>
      <c r="E2" s="763"/>
      <c r="F2" s="763"/>
      <c r="G2" s="763"/>
      <c r="H2" s="763"/>
      <c r="I2" s="763"/>
      <c r="J2" s="763"/>
      <c r="K2" s="763"/>
    </row>
    <row r="3" spans="1:11" s="176" customFormat="1" ht="30" customHeight="1">
      <c r="A3" s="751" t="s">
        <v>98</v>
      </c>
      <c r="B3" s="751"/>
      <c r="C3" s="749" t="s">
        <v>163</v>
      </c>
      <c r="D3" s="749" t="s">
        <v>188</v>
      </c>
      <c r="E3" s="749" t="s">
        <v>189</v>
      </c>
      <c r="F3" s="766" t="s">
        <v>190</v>
      </c>
      <c r="G3" s="767"/>
      <c r="H3" s="752"/>
      <c r="I3" s="764" t="s">
        <v>191</v>
      </c>
      <c r="J3" s="749" t="s">
        <v>192</v>
      </c>
      <c r="K3" s="749" t="s">
        <v>166</v>
      </c>
    </row>
    <row r="4" spans="1:11" s="176" customFormat="1" ht="61.5" customHeight="1">
      <c r="A4" s="751"/>
      <c r="B4" s="751"/>
      <c r="C4" s="749"/>
      <c r="D4" s="749"/>
      <c r="E4" s="749"/>
      <c r="F4" s="479" t="s">
        <v>102</v>
      </c>
      <c r="G4" s="498" t="s">
        <v>193</v>
      </c>
      <c r="H4" s="498" t="s">
        <v>194</v>
      </c>
      <c r="I4" s="765"/>
      <c r="J4" s="749"/>
      <c r="K4" s="749"/>
    </row>
    <row r="5" spans="1:11" s="121" customFormat="1" ht="14.5">
      <c r="A5" s="471">
        <v>2011</v>
      </c>
      <c r="B5" s="454" t="s">
        <v>105</v>
      </c>
      <c r="C5" s="203">
        <f>D5+E5+F5+I5+J5+K5</f>
        <v>16393.849999999999</v>
      </c>
      <c r="D5" s="177">
        <v>167.62</v>
      </c>
      <c r="E5" s="178">
        <v>631.23</v>
      </c>
      <c r="F5" s="198">
        <f>G5+H5</f>
        <v>8751.84</v>
      </c>
      <c r="G5" s="178">
        <v>972.85</v>
      </c>
      <c r="H5" s="179">
        <v>7778.99</v>
      </c>
      <c r="I5" s="178">
        <v>4837.79</v>
      </c>
      <c r="J5" s="178">
        <v>1801.34</v>
      </c>
      <c r="K5" s="180">
        <v>204.03</v>
      </c>
    </row>
    <row r="6" spans="1:11" s="121" customFormat="1" ht="14.5">
      <c r="A6" s="472"/>
      <c r="B6" s="455" t="s">
        <v>106</v>
      </c>
      <c r="C6" s="181">
        <f>D6+E6+F6+I6+J6+K6</f>
        <v>16117.659999999998</v>
      </c>
      <c r="D6" s="182">
        <v>181.03</v>
      </c>
      <c r="E6" s="183">
        <v>670.01</v>
      </c>
      <c r="F6" s="184">
        <f>G6+H6</f>
        <v>8469.35</v>
      </c>
      <c r="G6" s="183">
        <v>1045.5899999999999</v>
      </c>
      <c r="H6" s="185">
        <v>7423.76</v>
      </c>
      <c r="I6" s="183">
        <v>4840.1400000000003</v>
      </c>
      <c r="J6" s="183">
        <v>1767.22</v>
      </c>
      <c r="K6" s="186">
        <v>189.91</v>
      </c>
    </row>
    <row r="7" spans="1:11" s="121" customFormat="1" ht="14.5">
      <c r="A7" s="472"/>
      <c r="B7" s="455" t="s">
        <v>107</v>
      </c>
      <c r="C7" s="181">
        <f t="shared" ref="C7:C70" si="0">D7+E7+F7+I7+J7+K7</f>
        <v>17905.71</v>
      </c>
      <c r="D7" s="182">
        <v>159.33000000000001</v>
      </c>
      <c r="E7" s="183">
        <v>671.55</v>
      </c>
      <c r="F7" s="184">
        <f t="shared" ref="F7:F70" si="1">G7+H7</f>
        <v>10478.66</v>
      </c>
      <c r="G7" s="183">
        <v>1084.5</v>
      </c>
      <c r="H7" s="185">
        <v>9394.16</v>
      </c>
      <c r="I7" s="183">
        <v>4789.13</v>
      </c>
      <c r="J7" s="183">
        <v>1615.38</v>
      </c>
      <c r="K7" s="186">
        <v>191.66</v>
      </c>
    </row>
    <row r="8" spans="1:11" s="121" customFormat="1" ht="14.5">
      <c r="A8" s="472"/>
      <c r="B8" s="455" t="s">
        <v>108</v>
      </c>
      <c r="C8" s="181">
        <f t="shared" si="0"/>
        <v>17582.82</v>
      </c>
      <c r="D8" s="182">
        <v>156.12</v>
      </c>
      <c r="E8" s="183">
        <v>663.31</v>
      </c>
      <c r="F8" s="184">
        <f t="shared" si="1"/>
        <v>10048.51</v>
      </c>
      <c r="G8" s="183">
        <v>1030.98</v>
      </c>
      <c r="H8" s="185">
        <v>9017.5300000000007</v>
      </c>
      <c r="I8" s="183">
        <v>4799.1000000000004</v>
      </c>
      <c r="J8" s="183">
        <v>1718.3</v>
      </c>
      <c r="K8" s="186">
        <v>197.48</v>
      </c>
    </row>
    <row r="9" spans="1:11" s="121" customFormat="1" ht="14.5">
      <c r="A9" s="472"/>
      <c r="B9" s="455" t="s">
        <v>109</v>
      </c>
      <c r="C9" s="181">
        <f t="shared" si="0"/>
        <v>17092.149999999998</v>
      </c>
      <c r="D9" s="182">
        <v>161.61000000000001</v>
      </c>
      <c r="E9" s="183">
        <v>735.19</v>
      </c>
      <c r="F9" s="184">
        <f t="shared" si="1"/>
        <v>9284.16</v>
      </c>
      <c r="G9" s="183">
        <v>1138.21</v>
      </c>
      <c r="H9" s="185">
        <v>8145.95</v>
      </c>
      <c r="I9" s="183">
        <v>4788.05</v>
      </c>
      <c r="J9" s="183">
        <v>1948.71</v>
      </c>
      <c r="K9" s="186">
        <v>174.43</v>
      </c>
    </row>
    <row r="10" spans="1:11" s="121" customFormat="1" ht="14.5">
      <c r="A10" s="472"/>
      <c r="B10" s="455" t="s">
        <v>110</v>
      </c>
      <c r="C10" s="181">
        <f t="shared" si="0"/>
        <v>18521.96</v>
      </c>
      <c r="D10" s="182">
        <v>158.96</v>
      </c>
      <c r="E10" s="183">
        <v>738.49</v>
      </c>
      <c r="F10" s="184">
        <f t="shared" si="1"/>
        <v>11104.89</v>
      </c>
      <c r="G10" s="183">
        <v>1341.72</v>
      </c>
      <c r="H10" s="185">
        <v>9763.17</v>
      </c>
      <c r="I10" s="183">
        <v>4376.91</v>
      </c>
      <c r="J10" s="183">
        <v>1963.53</v>
      </c>
      <c r="K10" s="186">
        <v>179.18</v>
      </c>
    </row>
    <row r="11" spans="1:11" s="121" customFormat="1" ht="14.5">
      <c r="A11" s="472"/>
      <c r="B11" s="455" t="s">
        <v>111</v>
      </c>
      <c r="C11" s="181">
        <f t="shared" si="0"/>
        <v>17810.330000000002</v>
      </c>
      <c r="D11" s="182">
        <v>169.79</v>
      </c>
      <c r="E11" s="183">
        <v>730.16</v>
      </c>
      <c r="F11" s="184">
        <f t="shared" si="1"/>
        <v>10441.52</v>
      </c>
      <c r="G11" s="183">
        <v>1018.65</v>
      </c>
      <c r="H11" s="185">
        <v>9422.8700000000008</v>
      </c>
      <c r="I11" s="183">
        <v>4411.8100000000004</v>
      </c>
      <c r="J11" s="183">
        <v>1862.48</v>
      </c>
      <c r="K11" s="186">
        <v>194.57</v>
      </c>
    </row>
    <row r="12" spans="1:11" s="121" customFormat="1" ht="14.5">
      <c r="A12" s="472"/>
      <c r="B12" s="455" t="s">
        <v>112</v>
      </c>
      <c r="C12" s="181">
        <f t="shared" si="0"/>
        <v>17879.840000000004</v>
      </c>
      <c r="D12" s="182">
        <v>174.34</v>
      </c>
      <c r="E12" s="183">
        <v>806.69</v>
      </c>
      <c r="F12" s="184">
        <f t="shared" si="1"/>
        <v>10410.490000000002</v>
      </c>
      <c r="G12" s="183">
        <v>1079.3800000000001</v>
      </c>
      <c r="H12" s="185">
        <v>9331.11</v>
      </c>
      <c r="I12" s="183">
        <v>4460</v>
      </c>
      <c r="J12" s="183">
        <v>1815.25</v>
      </c>
      <c r="K12" s="186">
        <v>213.07</v>
      </c>
    </row>
    <row r="13" spans="1:11" s="121" customFormat="1" ht="14.5">
      <c r="A13" s="472"/>
      <c r="B13" s="455" t="s">
        <v>113</v>
      </c>
      <c r="C13" s="181">
        <f t="shared" si="0"/>
        <v>19624.070000000003</v>
      </c>
      <c r="D13" s="182">
        <v>157.47999999999999</v>
      </c>
      <c r="E13" s="183">
        <v>825.81</v>
      </c>
      <c r="F13" s="184">
        <f t="shared" si="1"/>
        <v>11883.44</v>
      </c>
      <c r="G13" s="183">
        <v>897.82</v>
      </c>
      <c r="H13" s="185">
        <v>10985.62</v>
      </c>
      <c r="I13" s="183">
        <v>4492.1099999999997</v>
      </c>
      <c r="J13" s="183">
        <v>2057.9</v>
      </c>
      <c r="K13" s="186">
        <v>207.33</v>
      </c>
    </row>
    <row r="14" spans="1:11" s="121" customFormat="1" ht="14.5">
      <c r="A14" s="472"/>
      <c r="B14" s="455" t="s">
        <v>114</v>
      </c>
      <c r="C14" s="181">
        <f t="shared" si="0"/>
        <v>19821.339999999997</v>
      </c>
      <c r="D14" s="182">
        <v>240.95</v>
      </c>
      <c r="E14" s="183">
        <v>803.18</v>
      </c>
      <c r="F14" s="184">
        <f t="shared" si="1"/>
        <v>11899.349999999999</v>
      </c>
      <c r="G14" s="183">
        <v>1034.46</v>
      </c>
      <c r="H14" s="185">
        <v>10864.89</v>
      </c>
      <c r="I14" s="183">
        <v>4517.29</v>
      </c>
      <c r="J14" s="183">
        <v>2139.59</v>
      </c>
      <c r="K14" s="186">
        <v>220.98</v>
      </c>
    </row>
    <row r="15" spans="1:11" s="121" customFormat="1" ht="14.5">
      <c r="A15" s="472"/>
      <c r="B15" s="455" t="s">
        <v>115</v>
      </c>
      <c r="C15" s="181">
        <f t="shared" si="0"/>
        <v>19223.829999999998</v>
      </c>
      <c r="D15" s="182">
        <v>236.78</v>
      </c>
      <c r="E15" s="183">
        <v>871.65</v>
      </c>
      <c r="F15" s="184">
        <f t="shared" si="1"/>
        <v>11010.14</v>
      </c>
      <c r="G15" s="183">
        <v>902.56</v>
      </c>
      <c r="H15" s="185">
        <v>10107.58</v>
      </c>
      <c r="I15" s="183">
        <v>4553.96</v>
      </c>
      <c r="J15" s="183">
        <v>2334.6</v>
      </c>
      <c r="K15" s="186">
        <v>216.7</v>
      </c>
    </row>
    <row r="16" spans="1:11" s="121" customFormat="1" ht="14.5">
      <c r="A16" s="473"/>
      <c r="B16" s="456" t="s">
        <v>116</v>
      </c>
      <c r="C16" s="187">
        <f t="shared" si="0"/>
        <v>21166.84</v>
      </c>
      <c r="D16" s="188">
        <v>864.42</v>
      </c>
      <c r="E16" s="189">
        <v>900.87</v>
      </c>
      <c r="F16" s="190">
        <f t="shared" si="1"/>
        <v>12115.96</v>
      </c>
      <c r="G16" s="189">
        <v>1013.64</v>
      </c>
      <c r="H16" s="191">
        <v>11102.32</v>
      </c>
      <c r="I16" s="189">
        <v>4760.71</v>
      </c>
      <c r="J16" s="189">
        <v>2251.56</v>
      </c>
      <c r="K16" s="192">
        <v>273.32</v>
      </c>
    </row>
    <row r="17" spans="1:11" s="121" customFormat="1" ht="14.5">
      <c r="A17" s="472">
        <v>2012</v>
      </c>
      <c r="B17" s="455" t="s">
        <v>105</v>
      </c>
      <c r="C17" s="181">
        <f t="shared" si="0"/>
        <v>19690.369999999995</v>
      </c>
      <c r="D17" s="193">
        <v>185.51</v>
      </c>
      <c r="E17" s="194">
        <v>889.04</v>
      </c>
      <c r="F17" s="184">
        <f t="shared" si="1"/>
        <v>11443.779999999999</v>
      </c>
      <c r="G17" s="194">
        <v>822.23</v>
      </c>
      <c r="H17" s="184">
        <v>10621.55</v>
      </c>
      <c r="I17" s="194">
        <v>4679.87</v>
      </c>
      <c r="J17" s="194">
        <v>2272.96</v>
      </c>
      <c r="K17" s="195">
        <v>219.21</v>
      </c>
    </row>
    <row r="18" spans="1:11" s="121" customFormat="1" ht="14.5">
      <c r="A18" s="472"/>
      <c r="B18" s="455" t="s">
        <v>106</v>
      </c>
      <c r="C18" s="181">
        <f t="shared" si="0"/>
        <v>18709.530000000002</v>
      </c>
      <c r="D18" s="193">
        <v>325.58</v>
      </c>
      <c r="E18" s="194">
        <v>890.44</v>
      </c>
      <c r="F18" s="184">
        <f t="shared" si="1"/>
        <v>10542.8</v>
      </c>
      <c r="G18" s="194">
        <v>819.99</v>
      </c>
      <c r="H18" s="184">
        <v>9722.81</v>
      </c>
      <c r="I18" s="194">
        <v>4655.79</v>
      </c>
      <c r="J18" s="194">
        <v>2092.2199999999998</v>
      </c>
      <c r="K18" s="195">
        <v>202.7</v>
      </c>
    </row>
    <row r="19" spans="1:11" s="121" customFormat="1" ht="14.5">
      <c r="A19" s="472"/>
      <c r="B19" s="455" t="s">
        <v>107</v>
      </c>
      <c r="C19" s="181">
        <f t="shared" si="0"/>
        <v>20724.830000000002</v>
      </c>
      <c r="D19" s="193">
        <v>445.43</v>
      </c>
      <c r="E19" s="194">
        <v>986.35</v>
      </c>
      <c r="F19" s="184">
        <f t="shared" si="1"/>
        <v>12465.84</v>
      </c>
      <c r="G19" s="194">
        <v>1143.69</v>
      </c>
      <c r="H19" s="184">
        <v>11322.15</v>
      </c>
      <c r="I19" s="194">
        <v>4583.6400000000003</v>
      </c>
      <c r="J19" s="194">
        <v>2037.04</v>
      </c>
      <c r="K19" s="195">
        <v>206.53</v>
      </c>
    </row>
    <row r="20" spans="1:11" s="121" customFormat="1" ht="14.5">
      <c r="A20" s="472"/>
      <c r="B20" s="455" t="s">
        <v>108</v>
      </c>
      <c r="C20" s="181">
        <f t="shared" si="0"/>
        <v>18912.32</v>
      </c>
      <c r="D20" s="182">
        <v>1562.56</v>
      </c>
      <c r="E20" s="183">
        <v>859.33</v>
      </c>
      <c r="F20" s="184">
        <f t="shared" si="1"/>
        <v>9434.26</v>
      </c>
      <c r="G20" s="183">
        <v>1035.42</v>
      </c>
      <c r="H20" s="185">
        <v>8398.84</v>
      </c>
      <c r="I20" s="183">
        <v>4645.83</v>
      </c>
      <c r="J20" s="183">
        <v>2203.84</v>
      </c>
      <c r="K20" s="186">
        <v>206.5</v>
      </c>
    </row>
    <row r="21" spans="1:11" s="121" customFormat="1" ht="14.5">
      <c r="A21" s="472"/>
      <c r="B21" s="455" t="s">
        <v>109</v>
      </c>
      <c r="C21" s="181">
        <f t="shared" si="0"/>
        <v>18105.099999999999</v>
      </c>
      <c r="D21" s="182">
        <v>1222.07</v>
      </c>
      <c r="E21" s="183">
        <v>860.07</v>
      </c>
      <c r="F21" s="184">
        <f t="shared" si="1"/>
        <v>8855.5</v>
      </c>
      <c r="G21" s="183">
        <v>811.28</v>
      </c>
      <c r="H21" s="185">
        <v>8044.22</v>
      </c>
      <c r="I21" s="183">
        <v>4752.75</v>
      </c>
      <c r="J21" s="183">
        <v>2205.8200000000002</v>
      </c>
      <c r="K21" s="186">
        <v>208.89</v>
      </c>
    </row>
    <row r="22" spans="1:11" s="121" customFormat="1" ht="14.5">
      <c r="A22" s="472"/>
      <c r="B22" s="455" t="s">
        <v>110</v>
      </c>
      <c r="C22" s="181">
        <f t="shared" si="0"/>
        <v>20104.779999999995</v>
      </c>
      <c r="D22" s="182">
        <v>1241.8499999999999</v>
      </c>
      <c r="E22" s="183">
        <v>915.12</v>
      </c>
      <c r="F22" s="184">
        <f t="shared" si="1"/>
        <v>10878.939999999999</v>
      </c>
      <c r="G22" s="183">
        <v>1215.97</v>
      </c>
      <c r="H22" s="185">
        <v>9662.9699999999993</v>
      </c>
      <c r="I22" s="183">
        <v>4692.63</v>
      </c>
      <c r="J22" s="183">
        <v>2172.58</v>
      </c>
      <c r="K22" s="186">
        <v>203.66</v>
      </c>
    </row>
    <row r="23" spans="1:11" s="121" customFormat="1" ht="14.5">
      <c r="A23" s="472"/>
      <c r="B23" s="455" t="s">
        <v>111</v>
      </c>
      <c r="C23" s="181">
        <f t="shared" si="0"/>
        <v>19101.109999999997</v>
      </c>
      <c r="D23" s="193">
        <v>1215.26</v>
      </c>
      <c r="E23" s="194">
        <v>815.58</v>
      </c>
      <c r="F23" s="184">
        <f t="shared" si="1"/>
        <v>10141.33</v>
      </c>
      <c r="G23" s="194">
        <v>1073.19</v>
      </c>
      <c r="H23" s="184">
        <v>9068.14</v>
      </c>
      <c r="I23" s="194">
        <v>4717.32</v>
      </c>
      <c r="J23" s="194">
        <v>2003.75</v>
      </c>
      <c r="K23" s="195">
        <v>207.87</v>
      </c>
    </row>
    <row r="24" spans="1:11" s="121" customFormat="1" ht="14.5">
      <c r="A24" s="472"/>
      <c r="B24" s="455" t="s">
        <v>112</v>
      </c>
      <c r="C24" s="181">
        <f t="shared" si="0"/>
        <v>18331.88</v>
      </c>
      <c r="D24" s="193">
        <v>766.62</v>
      </c>
      <c r="E24" s="194">
        <v>1067.22</v>
      </c>
      <c r="F24" s="184">
        <f t="shared" si="1"/>
        <v>9666.0600000000013</v>
      </c>
      <c r="G24" s="194">
        <v>1342.04</v>
      </c>
      <c r="H24" s="184">
        <v>8324.02</v>
      </c>
      <c r="I24" s="194">
        <v>4737.66</v>
      </c>
      <c r="J24" s="194">
        <v>1883.45</v>
      </c>
      <c r="K24" s="195">
        <v>210.87</v>
      </c>
    </row>
    <row r="25" spans="1:11" s="121" customFormat="1" ht="14.5">
      <c r="A25" s="472"/>
      <c r="B25" s="455" t="s">
        <v>113</v>
      </c>
      <c r="C25" s="181">
        <f t="shared" si="0"/>
        <v>20404.809999999998</v>
      </c>
      <c r="D25" s="193">
        <v>668.5</v>
      </c>
      <c r="E25" s="194">
        <v>975.62</v>
      </c>
      <c r="F25" s="184">
        <f t="shared" si="1"/>
        <v>11856.95</v>
      </c>
      <c r="G25" s="194">
        <v>1486.52</v>
      </c>
      <c r="H25" s="184">
        <v>10370.43</v>
      </c>
      <c r="I25" s="194">
        <v>4861.8500000000004</v>
      </c>
      <c r="J25" s="194">
        <v>1820.42</v>
      </c>
      <c r="K25" s="195">
        <v>221.47</v>
      </c>
    </row>
    <row r="26" spans="1:11" s="121" customFormat="1" ht="14.5">
      <c r="A26" s="472"/>
      <c r="B26" s="455" t="s">
        <v>114</v>
      </c>
      <c r="C26" s="181">
        <f t="shared" si="0"/>
        <v>19553.330000000002</v>
      </c>
      <c r="D26" s="193">
        <v>668.19</v>
      </c>
      <c r="E26" s="194">
        <v>1451.65</v>
      </c>
      <c r="F26" s="184">
        <f t="shared" si="1"/>
        <v>10468.39</v>
      </c>
      <c r="G26" s="194">
        <v>825.9</v>
      </c>
      <c r="H26" s="184">
        <v>9642.49</v>
      </c>
      <c r="I26" s="194">
        <v>4788.4799999999996</v>
      </c>
      <c r="J26" s="194">
        <v>1957.79</v>
      </c>
      <c r="K26" s="195">
        <v>218.83</v>
      </c>
    </row>
    <row r="27" spans="1:11" s="121" customFormat="1" ht="14.5">
      <c r="A27" s="472"/>
      <c r="B27" s="455" t="s">
        <v>115</v>
      </c>
      <c r="C27" s="181">
        <f t="shared" si="0"/>
        <v>18706.669999999998</v>
      </c>
      <c r="D27" s="193">
        <v>650.55999999999995</v>
      </c>
      <c r="E27" s="194">
        <v>1073.78</v>
      </c>
      <c r="F27" s="184">
        <f t="shared" si="1"/>
        <v>9953.4699999999993</v>
      </c>
      <c r="G27" s="194">
        <v>891.81</v>
      </c>
      <c r="H27" s="184">
        <v>9061.66</v>
      </c>
      <c r="I27" s="194">
        <v>4798.67</v>
      </c>
      <c r="J27" s="194">
        <v>2003.48</v>
      </c>
      <c r="K27" s="186">
        <v>226.71</v>
      </c>
    </row>
    <row r="28" spans="1:11" s="121" customFormat="1" ht="14.5">
      <c r="A28" s="472"/>
      <c r="B28" s="455" t="s">
        <v>116</v>
      </c>
      <c r="C28" s="187">
        <f t="shared" si="0"/>
        <v>19685.280000000002</v>
      </c>
      <c r="D28" s="182">
        <v>712.07</v>
      </c>
      <c r="E28" s="183">
        <v>1165.18</v>
      </c>
      <c r="F28" s="190">
        <f t="shared" si="1"/>
        <v>10785.09</v>
      </c>
      <c r="G28" s="194">
        <v>1055.98</v>
      </c>
      <c r="H28" s="185">
        <v>9729.11</v>
      </c>
      <c r="I28" s="183">
        <v>4895.17</v>
      </c>
      <c r="J28" s="183">
        <v>1867.2</v>
      </c>
      <c r="K28" s="186">
        <v>260.57</v>
      </c>
    </row>
    <row r="29" spans="1:11" s="121" customFormat="1" ht="14.5">
      <c r="A29" s="471">
        <v>2013</v>
      </c>
      <c r="B29" s="454" t="s">
        <v>105</v>
      </c>
      <c r="C29" s="181">
        <f t="shared" si="0"/>
        <v>19220.600000000002</v>
      </c>
      <c r="D29" s="196">
        <v>735.38</v>
      </c>
      <c r="E29" s="197">
        <v>1493.81</v>
      </c>
      <c r="F29" s="184">
        <f t="shared" si="1"/>
        <v>10214.300000000001</v>
      </c>
      <c r="G29" s="197">
        <v>1084.3599999999999</v>
      </c>
      <c r="H29" s="198">
        <v>9129.94</v>
      </c>
      <c r="I29" s="197">
        <v>4871.66</v>
      </c>
      <c r="J29" s="197">
        <v>1685.66</v>
      </c>
      <c r="K29" s="199">
        <v>219.79</v>
      </c>
    </row>
    <row r="30" spans="1:11" s="121" customFormat="1" ht="14.5">
      <c r="A30" s="472"/>
      <c r="B30" s="455" t="s">
        <v>106</v>
      </c>
      <c r="C30" s="181">
        <f t="shared" si="0"/>
        <v>19112.600000000002</v>
      </c>
      <c r="D30" s="193">
        <v>189.8</v>
      </c>
      <c r="E30" s="194">
        <v>1769.44</v>
      </c>
      <c r="F30" s="184">
        <f t="shared" si="1"/>
        <v>10292.86</v>
      </c>
      <c r="G30" s="194">
        <v>1190.92</v>
      </c>
      <c r="H30" s="184">
        <v>9101.94</v>
      </c>
      <c r="I30" s="194">
        <v>4879.34</v>
      </c>
      <c r="J30" s="194">
        <v>1745.77</v>
      </c>
      <c r="K30" s="195">
        <v>235.39</v>
      </c>
    </row>
    <row r="31" spans="1:11" s="121" customFormat="1" ht="14.5">
      <c r="A31" s="472"/>
      <c r="B31" s="455" t="s">
        <v>107</v>
      </c>
      <c r="C31" s="181">
        <f t="shared" si="0"/>
        <v>20452.61</v>
      </c>
      <c r="D31" s="193">
        <v>186.47</v>
      </c>
      <c r="E31" s="194">
        <v>1827.76</v>
      </c>
      <c r="F31" s="184">
        <f t="shared" si="1"/>
        <v>11537.37</v>
      </c>
      <c r="G31" s="194">
        <v>1387.77</v>
      </c>
      <c r="H31" s="184">
        <v>10149.6</v>
      </c>
      <c r="I31" s="194">
        <v>4873.03</v>
      </c>
      <c r="J31" s="194">
        <v>1810.34</v>
      </c>
      <c r="K31" s="195">
        <v>217.64</v>
      </c>
    </row>
    <row r="32" spans="1:11" s="121" customFormat="1" ht="14.5">
      <c r="A32" s="472"/>
      <c r="B32" s="455" t="s">
        <v>108</v>
      </c>
      <c r="C32" s="181">
        <f t="shared" si="0"/>
        <v>18964.169999999998</v>
      </c>
      <c r="D32" s="193">
        <v>196.83</v>
      </c>
      <c r="E32" s="194">
        <v>1724.67</v>
      </c>
      <c r="F32" s="184">
        <f t="shared" si="1"/>
        <v>9825.9599999999991</v>
      </c>
      <c r="G32" s="194">
        <v>1218.6199999999999</v>
      </c>
      <c r="H32" s="184">
        <v>8607.34</v>
      </c>
      <c r="I32" s="194">
        <v>4950.04</v>
      </c>
      <c r="J32" s="194">
        <v>2047.05</v>
      </c>
      <c r="K32" s="195">
        <v>219.62</v>
      </c>
    </row>
    <row r="33" spans="1:11" s="121" customFormat="1" ht="14.5">
      <c r="A33" s="472"/>
      <c r="B33" s="455" t="s">
        <v>109</v>
      </c>
      <c r="C33" s="181">
        <f t="shared" si="0"/>
        <v>18276.599999999999</v>
      </c>
      <c r="D33" s="182">
        <v>196.78</v>
      </c>
      <c r="E33" s="183">
        <v>1718.31</v>
      </c>
      <c r="F33" s="184">
        <f t="shared" si="1"/>
        <v>9127.09</v>
      </c>
      <c r="G33" s="183">
        <v>1042.93</v>
      </c>
      <c r="H33" s="185">
        <v>8084.16</v>
      </c>
      <c r="I33" s="183">
        <v>4994.83</v>
      </c>
      <c r="J33" s="183">
        <v>2016.99</v>
      </c>
      <c r="K33" s="186">
        <v>222.6</v>
      </c>
    </row>
    <row r="34" spans="1:11" s="121" customFormat="1" ht="14.5">
      <c r="A34" s="472"/>
      <c r="B34" s="455" t="s">
        <v>110</v>
      </c>
      <c r="C34" s="181">
        <f t="shared" si="0"/>
        <v>20426.61</v>
      </c>
      <c r="D34" s="182">
        <v>179.07</v>
      </c>
      <c r="E34" s="183">
        <v>1729.01</v>
      </c>
      <c r="F34" s="184">
        <f t="shared" si="1"/>
        <v>11243.4</v>
      </c>
      <c r="G34" s="183">
        <v>1496.82</v>
      </c>
      <c r="H34" s="185">
        <v>9746.58</v>
      </c>
      <c r="I34" s="183">
        <v>5052.53</v>
      </c>
      <c r="J34" s="183">
        <v>2007.13</v>
      </c>
      <c r="K34" s="186">
        <v>215.47</v>
      </c>
    </row>
    <row r="35" spans="1:11" s="121" customFormat="1" ht="14.5">
      <c r="A35" s="472"/>
      <c r="B35" s="455" t="s">
        <v>117</v>
      </c>
      <c r="C35" s="181">
        <f t="shared" si="0"/>
        <v>19516.8</v>
      </c>
      <c r="D35" s="182">
        <v>203.73</v>
      </c>
      <c r="E35" s="183">
        <v>1615.79</v>
      </c>
      <c r="F35" s="184">
        <f t="shared" si="1"/>
        <v>10292.290000000001</v>
      </c>
      <c r="G35" s="183">
        <v>1241.01</v>
      </c>
      <c r="H35" s="185">
        <v>9051.2800000000007</v>
      </c>
      <c r="I35" s="183">
        <v>5139.08</v>
      </c>
      <c r="J35" s="183">
        <v>2056.4699999999998</v>
      </c>
      <c r="K35" s="186">
        <v>209.44</v>
      </c>
    </row>
    <row r="36" spans="1:11" s="121" customFormat="1" ht="14.5">
      <c r="A36" s="472"/>
      <c r="B36" s="455" t="s">
        <v>112</v>
      </c>
      <c r="C36" s="181">
        <f t="shared" si="0"/>
        <v>19260.84</v>
      </c>
      <c r="D36" s="182">
        <v>178.03</v>
      </c>
      <c r="E36" s="183">
        <v>1677.96</v>
      </c>
      <c r="F36" s="184">
        <f t="shared" si="1"/>
        <v>9971.3900000000012</v>
      </c>
      <c r="G36" s="183">
        <v>1249.77</v>
      </c>
      <c r="H36" s="185">
        <v>8721.6200000000008</v>
      </c>
      <c r="I36" s="183">
        <v>5188.82</v>
      </c>
      <c r="J36" s="183">
        <v>2035.93</v>
      </c>
      <c r="K36" s="186">
        <v>208.71</v>
      </c>
    </row>
    <row r="37" spans="1:11" s="121" customFormat="1" ht="14.5">
      <c r="A37" s="472"/>
      <c r="B37" s="455" t="s">
        <v>113</v>
      </c>
      <c r="C37" s="181">
        <f t="shared" si="0"/>
        <v>20048.669999999998</v>
      </c>
      <c r="D37" s="182">
        <v>200.93</v>
      </c>
      <c r="E37" s="183">
        <v>1743.27</v>
      </c>
      <c r="F37" s="184">
        <f t="shared" si="1"/>
        <v>10757.849999999999</v>
      </c>
      <c r="G37" s="183">
        <v>1261.22</v>
      </c>
      <c r="H37" s="185">
        <v>9496.6299999999992</v>
      </c>
      <c r="I37" s="183">
        <v>5177.6099999999997</v>
      </c>
      <c r="J37" s="183">
        <v>1961.33</v>
      </c>
      <c r="K37" s="186">
        <v>207.68</v>
      </c>
    </row>
    <row r="38" spans="1:11" s="121" customFormat="1" ht="14.5">
      <c r="A38" s="472"/>
      <c r="B38" s="455" t="s">
        <v>114</v>
      </c>
      <c r="C38" s="181">
        <f t="shared" si="0"/>
        <v>19368.870000000003</v>
      </c>
      <c r="D38" s="193">
        <v>186.79</v>
      </c>
      <c r="E38" s="183">
        <v>1740.73</v>
      </c>
      <c r="F38" s="184">
        <f t="shared" si="1"/>
        <v>10141.35</v>
      </c>
      <c r="G38" s="183">
        <v>1217.92</v>
      </c>
      <c r="H38" s="185">
        <v>8923.43</v>
      </c>
      <c r="I38" s="183">
        <v>5169.17</v>
      </c>
      <c r="J38" s="183">
        <v>1922.83</v>
      </c>
      <c r="K38" s="186">
        <v>208</v>
      </c>
    </row>
    <row r="39" spans="1:11" s="121" customFormat="1" ht="14.5">
      <c r="A39" s="472"/>
      <c r="B39" s="455" t="s">
        <v>115</v>
      </c>
      <c r="C39" s="181">
        <f t="shared" si="0"/>
        <v>18848.240000000002</v>
      </c>
      <c r="D39" s="193">
        <v>186.69</v>
      </c>
      <c r="E39" s="194">
        <v>1694.72</v>
      </c>
      <c r="F39" s="184">
        <f t="shared" si="1"/>
        <v>9532.48</v>
      </c>
      <c r="G39" s="194">
        <v>1283.43</v>
      </c>
      <c r="H39" s="184">
        <v>8249.0499999999993</v>
      </c>
      <c r="I39" s="194">
        <v>5198.91</v>
      </c>
      <c r="J39" s="194">
        <v>2035.92</v>
      </c>
      <c r="K39" s="195">
        <v>199.52</v>
      </c>
    </row>
    <row r="40" spans="1:11" s="121" customFormat="1" ht="14.5">
      <c r="A40" s="473"/>
      <c r="B40" s="456" t="s">
        <v>116</v>
      </c>
      <c r="C40" s="187">
        <f t="shared" si="0"/>
        <v>19348.650000000001</v>
      </c>
      <c r="D40" s="188">
        <v>250.92</v>
      </c>
      <c r="E40" s="189">
        <v>1645.03</v>
      </c>
      <c r="F40" s="190">
        <f t="shared" si="1"/>
        <v>9799.0299999999988</v>
      </c>
      <c r="G40" s="189">
        <v>1379.55</v>
      </c>
      <c r="H40" s="191">
        <v>8419.48</v>
      </c>
      <c r="I40" s="189">
        <v>5353.12</v>
      </c>
      <c r="J40" s="189">
        <v>2086.0100000000002</v>
      </c>
      <c r="K40" s="192">
        <v>214.54</v>
      </c>
    </row>
    <row r="41" spans="1:11" s="121" customFormat="1" ht="14.5">
      <c r="A41" s="471">
        <v>2014</v>
      </c>
      <c r="B41" s="454" t="s">
        <v>105</v>
      </c>
      <c r="C41" s="181">
        <f t="shared" si="0"/>
        <v>18289.46</v>
      </c>
      <c r="D41" s="196">
        <v>209.06</v>
      </c>
      <c r="E41" s="197">
        <v>1602.31</v>
      </c>
      <c r="F41" s="184">
        <f t="shared" si="1"/>
        <v>8718.49</v>
      </c>
      <c r="G41" s="197">
        <v>1173.8399999999999</v>
      </c>
      <c r="H41" s="198">
        <v>7544.65</v>
      </c>
      <c r="I41" s="197">
        <v>5261.74</v>
      </c>
      <c r="J41" s="198">
        <v>2284.33</v>
      </c>
      <c r="K41" s="197">
        <v>213.53</v>
      </c>
    </row>
    <row r="42" spans="1:11" s="121" customFormat="1" ht="14.5">
      <c r="A42" s="472"/>
      <c r="B42" s="455" t="s">
        <v>106</v>
      </c>
      <c r="C42" s="181">
        <f t="shared" si="0"/>
        <v>17875.07</v>
      </c>
      <c r="D42" s="193">
        <v>216.54</v>
      </c>
      <c r="E42" s="194">
        <v>1577.85</v>
      </c>
      <c r="F42" s="184">
        <f t="shared" si="1"/>
        <v>8431.1</v>
      </c>
      <c r="G42" s="194">
        <v>1201.6300000000001</v>
      </c>
      <c r="H42" s="184">
        <v>7229.47</v>
      </c>
      <c r="I42" s="194">
        <v>5202.08</v>
      </c>
      <c r="J42" s="184">
        <v>2242.89</v>
      </c>
      <c r="K42" s="194">
        <v>204.61</v>
      </c>
    </row>
    <row r="43" spans="1:11" s="121" customFormat="1" ht="14.5">
      <c r="A43" s="472"/>
      <c r="B43" s="455" t="s">
        <v>107</v>
      </c>
      <c r="C43" s="181">
        <f t="shared" si="0"/>
        <v>19270.29</v>
      </c>
      <c r="D43" s="193">
        <v>214.3</v>
      </c>
      <c r="E43" s="194">
        <v>1292.0899999999999</v>
      </c>
      <c r="F43" s="184">
        <f t="shared" si="1"/>
        <v>9888.77</v>
      </c>
      <c r="G43" s="194">
        <v>1162.32</v>
      </c>
      <c r="H43" s="184">
        <v>8726.4500000000007</v>
      </c>
      <c r="I43" s="194">
        <v>5221.74</v>
      </c>
      <c r="J43" s="184">
        <v>2421.9699999999998</v>
      </c>
      <c r="K43" s="194">
        <v>231.42</v>
      </c>
    </row>
    <row r="44" spans="1:11" s="121" customFormat="1" ht="14.5">
      <c r="A44" s="472"/>
      <c r="B44" s="455" t="s">
        <v>108</v>
      </c>
      <c r="C44" s="181">
        <f t="shared" si="0"/>
        <v>18439.59</v>
      </c>
      <c r="D44" s="193">
        <v>207.51</v>
      </c>
      <c r="E44" s="183">
        <v>1260.99</v>
      </c>
      <c r="F44" s="184">
        <f t="shared" si="1"/>
        <v>9148.06</v>
      </c>
      <c r="G44" s="183">
        <v>1189.5899999999999</v>
      </c>
      <c r="H44" s="185">
        <v>7958.47</v>
      </c>
      <c r="I44" s="183">
        <v>5235.3</v>
      </c>
      <c r="J44" s="185">
        <v>2378.09</v>
      </c>
      <c r="K44" s="183">
        <v>209.64</v>
      </c>
    </row>
    <row r="45" spans="1:11" s="121" customFormat="1" ht="14.5">
      <c r="A45" s="472"/>
      <c r="B45" s="455" t="s">
        <v>109</v>
      </c>
      <c r="C45" s="181">
        <f t="shared" si="0"/>
        <v>17716.3</v>
      </c>
      <c r="D45" s="193">
        <v>195.43</v>
      </c>
      <c r="E45" s="183">
        <v>1280.1400000000001</v>
      </c>
      <c r="F45" s="184">
        <f t="shared" si="1"/>
        <v>8234.98</v>
      </c>
      <c r="G45" s="183">
        <v>1215.29</v>
      </c>
      <c r="H45" s="185">
        <v>7019.69</v>
      </c>
      <c r="I45" s="183">
        <v>5261.59</v>
      </c>
      <c r="J45" s="185">
        <v>2528.9699999999998</v>
      </c>
      <c r="K45" s="183">
        <v>215.19</v>
      </c>
    </row>
    <row r="46" spans="1:11" s="121" customFormat="1" ht="14.5">
      <c r="A46" s="472"/>
      <c r="B46" s="455" t="s">
        <v>110</v>
      </c>
      <c r="C46" s="181">
        <f t="shared" si="0"/>
        <v>19103.37</v>
      </c>
      <c r="D46" s="193">
        <v>182.29</v>
      </c>
      <c r="E46" s="183">
        <v>1346</v>
      </c>
      <c r="F46" s="184">
        <f t="shared" si="1"/>
        <v>9516.98</v>
      </c>
      <c r="G46" s="183">
        <v>1264.9100000000001</v>
      </c>
      <c r="H46" s="185">
        <v>8252.07</v>
      </c>
      <c r="I46" s="183">
        <v>5262.42</v>
      </c>
      <c r="J46" s="185">
        <v>2524.02</v>
      </c>
      <c r="K46" s="183">
        <v>271.66000000000003</v>
      </c>
    </row>
    <row r="47" spans="1:11" s="121" customFormat="1" ht="14.5">
      <c r="A47" s="472"/>
      <c r="B47" s="455" t="s">
        <v>117</v>
      </c>
      <c r="C47" s="181">
        <f t="shared" si="0"/>
        <v>18339.47</v>
      </c>
      <c r="D47" s="193">
        <v>228.03</v>
      </c>
      <c r="E47" s="183">
        <v>1446.79</v>
      </c>
      <c r="F47" s="184">
        <f t="shared" si="1"/>
        <v>8755.08</v>
      </c>
      <c r="G47" s="183">
        <v>1278.02</v>
      </c>
      <c r="H47" s="185">
        <v>7477.06</v>
      </c>
      <c r="I47" s="183">
        <v>5328.59</v>
      </c>
      <c r="J47" s="185">
        <v>2345.9899999999998</v>
      </c>
      <c r="K47" s="183">
        <v>234.99</v>
      </c>
    </row>
    <row r="48" spans="1:11" s="121" customFormat="1" ht="14.5">
      <c r="A48" s="472"/>
      <c r="B48" s="455" t="s">
        <v>112</v>
      </c>
      <c r="C48" s="181">
        <f t="shared" si="0"/>
        <v>17646.239999999998</v>
      </c>
      <c r="D48" s="193">
        <v>179.29</v>
      </c>
      <c r="E48" s="183">
        <v>1616.79</v>
      </c>
      <c r="F48" s="184">
        <f t="shared" si="1"/>
        <v>8034.7</v>
      </c>
      <c r="G48" s="183">
        <v>1080.32</v>
      </c>
      <c r="H48" s="185">
        <v>6954.38</v>
      </c>
      <c r="I48" s="183">
        <v>5333.8</v>
      </c>
      <c r="J48" s="185">
        <v>2243.39</v>
      </c>
      <c r="K48" s="183">
        <v>238.27</v>
      </c>
    </row>
    <row r="49" spans="1:11" s="121" customFormat="1" ht="14.5">
      <c r="A49" s="472"/>
      <c r="B49" s="455" t="s">
        <v>113</v>
      </c>
      <c r="C49" s="181">
        <f t="shared" si="0"/>
        <v>18940.379999999997</v>
      </c>
      <c r="D49" s="193">
        <v>213.26</v>
      </c>
      <c r="E49" s="183">
        <v>1507.03</v>
      </c>
      <c r="F49" s="184">
        <f t="shared" si="1"/>
        <v>9158.39</v>
      </c>
      <c r="G49" s="183">
        <v>1234.8599999999999</v>
      </c>
      <c r="H49" s="185">
        <v>7923.53</v>
      </c>
      <c r="I49" s="183">
        <v>5342.4</v>
      </c>
      <c r="J49" s="185">
        <v>2515.1999999999998</v>
      </c>
      <c r="K49" s="183">
        <v>204.1</v>
      </c>
    </row>
    <row r="50" spans="1:11" s="121" customFormat="1" ht="14.5">
      <c r="A50" s="472"/>
      <c r="B50" s="455" t="s">
        <v>114</v>
      </c>
      <c r="C50" s="181">
        <f t="shared" si="0"/>
        <v>18384.43</v>
      </c>
      <c r="D50" s="193">
        <v>191.44</v>
      </c>
      <c r="E50" s="183">
        <v>1403.73</v>
      </c>
      <c r="F50" s="184">
        <f t="shared" si="1"/>
        <v>8597.6</v>
      </c>
      <c r="G50" s="183">
        <v>1258.04</v>
      </c>
      <c r="H50" s="185">
        <v>7339.56</v>
      </c>
      <c r="I50" s="183">
        <v>5386.47</v>
      </c>
      <c r="J50" s="185">
        <v>2583.1</v>
      </c>
      <c r="K50" s="183">
        <v>222.09</v>
      </c>
    </row>
    <row r="51" spans="1:11" s="121" customFormat="1" ht="14.5">
      <c r="A51" s="472"/>
      <c r="B51" s="455" t="s">
        <v>115</v>
      </c>
      <c r="C51" s="181">
        <f t="shared" si="0"/>
        <v>18042.43</v>
      </c>
      <c r="D51" s="193">
        <v>173.06</v>
      </c>
      <c r="E51" s="183">
        <v>1451.76</v>
      </c>
      <c r="F51" s="184">
        <f t="shared" si="1"/>
        <v>8076.74</v>
      </c>
      <c r="G51" s="183">
        <v>1149.55</v>
      </c>
      <c r="H51" s="185">
        <v>6927.19</v>
      </c>
      <c r="I51" s="183">
        <v>5430.18</v>
      </c>
      <c r="J51" s="185">
        <v>2668.07</v>
      </c>
      <c r="K51" s="183">
        <v>242.62</v>
      </c>
    </row>
    <row r="52" spans="1:11" s="121" customFormat="1" ht="14.25" customHeight="1">
      <c r="A52" s="473"/>
      <c r="B52" s="456" t="s">
        <v>116</v>
      </c>
      <c r="C52" s="187">
        <f t="shared" si="0"/>
        <v>18677.329999999998</v>
      </c>
      <c r="D52" s="200">
        <v>274.64</v>
      </c>
      <c r="E52" s="189">
        <v>1488.74</v>
      </c>
      <c r="F52" s="190">
        <f t="shared" si="1"/>
        <v>8607.65</v>
      </c>
      <c r="G52" s="189">
        <v>1349.59</v>
      </c>
      <c r="H52" s="191">
        <v>7258.06</v>
      </c>
      <c r="I52" s="189">
        <v>5497.71</v>
      </c>
      <c r="J52" s="191">
        <v>2459.23</v>
      </c>
      <c r="K52" s="189">
        <v>349.36</v>
      </c>
    </row>
    <row r="53" spans="1:11" s="121" customFormat="1" ht="14.5">
      <c r="A53" s="471">
        <v>2015</v>
      </c>
      <c r="B53" s="453" t="s">
        <v>105</v>
      </c>
      <c r="C53" s="181">
        <f t="shared" si="0"/>
        <v>17817.880000000005</v>
      </c>
      <c r="D53" s="182">
        <v>192.13</v>
      </c>
      <c r="E53" s="183">
        <v>1511.48</v>
      </c>
      <c r="F53" s="184">
        <f t="shared" si="1"/>
        <v>7915.9600000000009</v>
      </c>
      <c r="G53" s="183">
        <v>1152.19</v>
      </c>
      <c r="H53" s="178">
        <v>6763.77</v>
      </c>
      <c r="I53" s="183">
        <v>5426.71</v>
      </c>
      <c r="J53" s="178">
        <v>2429.65</v>
      </c>
      <c r="K53" s="183">
        <v>341.95</v>
      </c>
    </row>
    <row r="54" spans="1:11" s="121" customFormat="1" ht="14.5">
      <c r="A54" s="472"/>
      <c r="B54" s="450" t="s">
        <v>106</v>
      </c>
      <c r="C54" s="181">
        <f t="shared" si="0"/>
        <v>17952.48</v>
      </c>
      <c r="D54" s="201">
        <v>209.19</v>
      </c>
      <c r="E54" s="183">
        <v>1522.56</v>
      </c>
      <c r="F54" s="184">
        <f t="shared" si="1"/>
        <v>8019.74</v>
      </c>
      <c r="G54" s="183">
        <v>1223.08</v>
      </c>
      <c r="H54" s="183">
        <v>6796.66</v>
      </c>
      <c r="I54" s="186">
        <v>5406.61</v>
      </c>
      <c r="J54" s="185">
        <v>2441.91</v>
      </c>
      <c r="K54" s="183">
        <v>352.47</v>
      </c>
    </row>
    <row r="55" spans="1:11" s="121" customFormat="1" ht="14.5">
      <c r="A55" s="472"/>
      <c r="B55" s="455" t="s">
        <v>107</v>
      </c>
      <c r="C55" s="181">
        <f t="shared" si="0"/>
        <v>18274.23</v>
      </c>
      <c r="D55" s="201">
        <v>199.29</v>
      </c>
      <c r="E55" s="183">
        <v>1731.97</v>
      </c>
      <c r="F55" s="184">
        <f t="shared" si="1"/>
        <v>8135.33</v>
      </c>
      <c r="G55" s="183">
        <v>1383.87</v>
      </c>
      <c r="H55" s="183">
        <v>6751.46</v>
      </c>
      <c r="I55" s="183">
        <v>5397.26</v>
      </c>
      <c r="J55" s="183">
        <v>2514.2800000000002</v>
      </c>
      <c r="K55" s="183">
        <v>296.10000000000002</v>
      </c>
    </row>
    <row r="56" spans="1:11" s="121" customFormat="1" ht="14.5">
      <c r="A56" s="472"/>
      <c r="B56" s="450" t="s">
        <v>108</v>
      </c>
      <c r="C56" s="181">
        <f t="shared" si="0"/>
        <v>17365.920000000002</v>
      </c>
      <c r="D56" s="181">
        <v>209.45</v>
      </c>
      <c r="E56" s="194">
        <v>1606.38</v>
      </c>
      <c r="F56" s="184">
        <f t="shared" si="1"/>
        <v>7007.95</v>
      </c>
      <c r="G56" s="194">
        <v>1130.04</v>
      </c>
      <c r="H56" s="194">
        <v>5877.91</v>
      </c>
      <c r="I56" s="194">
        <v>5666.13</v>
      </c>
      <c r="J56" s="183">
        <v>2561.9</v>
      </c>
      <c r="K56" s="194">
        <v>314.11</v>
      </c>
    </row>
    <row r="57" spans="1:11" s="121" customFormat="1" ht="14.5">
      <c r="A57" s="472"/>
      <c r="B57" s="450" t="s">
        <v>109</v>
      </c>
      <c r="C57" s="181">
        <f t="shared" si="0"/>
        <v>17193.880000000005</v>
      </c>
      <c r="D57" s="181">
        <v>217.63</v>
      </c>
      <c r="E57" s="194">
        <v>1502.65</v>
      </c>
      <c r="F57" s="184">
        <f t="shared" si="1"/>
        <v>6942.18</v>
      </c>
      <c r="G57" s="194">
        <v>1087.8900000000001</v>
      </c>
      <c r="H57" s="194">
        <v>5854.29</v>
      </c>
      <c r="I57" s="194">
        <v>5672.3</v>
      </c>
      <c r="J57" s="194">
        <v>2536.83</v>
      </c>
      <c r="K57" s="194">
        <v>322.29000000000002</v>
      </c>
    </row>
    <row r="58" spans="1:11" s="121" customFormat="1" ht="14.5">
      <c r="A58" s="472"/>
      <c r="B58" s="450" t="s">
        <v>110</v>
      </c>
      <c r="C58" s="181">
        <f t="shared" si="0"/>
        <v>17539.14</v>
      </c>
      <c r="D58" s="181">
        <v>232.29</v>
      </c>
      <c r="E58" s="194">
        <v>1644.38</v>
      </c>
      <c r="F58" s="184">
        <f t="shared" si="1"/>
        <v>7093.85</v>
      </c>
      <c r="G58" s="194">
        <v>1037.72</v>
      </c>
      <c r="H58" s="194">
        <v>6056.13</v>
      </c>
      <c r="I58" s="194">
        <v>5686.03</v>
      </c>
      <c r="J58" s="194">
        <v>2551.4299999999998</v>
      </c>
      <c r="K58" s="194">
        <v>331.16</v>
      </c>
    </row>
    <row r="59" spans="1:11" s="121" customFormat="1" ht="14.5">
      <c r="A59" s="472"/>
      <c r="B59" s="450" t="s">
        <v>117</v>
      </c>
      <c r="C59" s="181">
        <f t="shared" si="0"/>
        <v>17277.53</v>
      </c>
      <c r="D59" s="181">
        <v>242.27</v>
      </c>
      <c r="E59" s="194">
        <v>1493.48</v>
      </c>
      <c r="F59" s="184">
        <f t="shared" si="1"/>
        <v>6777.41</v>
      </c>
      <c r="G59" s="194">
        <v>1009.25</v>
      </c>
      <c r="H59" s="194">
        <v>5768.16</v>
      </c>
      <c r="I59" s="194">
        <v>5788.59</v>
      </c>
      <c r="J59" s="194">
        <v>2643.68</v>
      </c>
      <c r="K59" s="194">
        <v>332.1</v>
      </c>
    </row>
    <row r="60" spans="1:11" s="121" customFormat="1" ht="14.5">
      <c r="A60" s="472"/>
      <c r="B60" s="450" t="s">
        <v>112</v>
      </c>
      <c r="C60" s="181">
        <f t="shared" si="0"/>
        <v>17089.79</v>
      </c>
      <c r="D60" s="181">
        <v>239.98</v>
      </c>
      <c r="E60" s="194">
        <v>1457.23</v>
      </c>
      <c r="F60" s="184">
        <f t="shared" si="1"/>
        <v>6699.4699999999993</v>
      </c>
      <c r="G60" s="194">
        <v>1071.49</v>
      </c>
      <c r="H60" s="194">
        <v>5627.98</v>
      </c>
      <c r="I60" s="194">
        <v>5822.76</v>
      </c>
      <c r="J60" s="194">
        <v>2561</v>
      </c>
      <c r="K60" s="194">
        <v>309.35000000000002</v>
      </c>
    </row>
    <row r="61" spans="1:11" s="121" customFormat="1" ht="14.5">
      <c r="A61" s="472"/>
      <c r="B61" s="450" t="s">
        <v>113</v>
      </c>
      <c r="C61" s="181">
        <f t="shared" si="0"/>
        <v>17814.230000000003</v>
      </c>
      <c r="D61" s="181">
        <v>228.07</v>
      </c>
      <c r="E61" s="194">
        <v>1591.39</v>
      </c>
      <c r="F61" s="184">
        <f t="shared" si="1"/>
        <v>6578.6100000000006</v>
      </c>
      <c r="G61" s="194">
        <v>1096.18</v>
      </c>
      <c r="H61" s="194">
        <v>5482.43</v>
      </c>
      <c r="I61" s="194">
        <v>5828.86</v>
      </c>
      <c r="J61" s="194">
        <v>2634.51</v>
      </c>
      <c r="K61" s="194">
        <v>952.79</v>
      </c>
    </row>
    <row r="62" spans="1:11" s="121" customFormat="1" ht="14.5">
      <c r="A62" s="472"/>
      <c r="B62" s="450" t="s">
        <v>114</v>
      </c>
      <c r="C62" s="181">
        <f t="shared" si="0"/>
        <v>17301.310000000001</v>
      </c>
      <c r="D62" s="201">
        <v>222.39</v>
      </c>
      <c r="E62" s="201">
        <v>1600.38</v>
      </c>
      <c r="F62" s="184">
        <f t="shared" si="1"/>
        <v>6723.45</v>
      </c>
      <c r="G62" s="201">
        <v>1084.1199999999999</v>
      </c>
      <c r="H62" s="201">
        <v>5639.33</v>
      </c>
      <c r="I62" s="201">
        <v>5851.46</v>
      </c>
      <c r="J62" s="201">
        <v>2608</v>
      </c>
      <c r="K62" s="201">
        <v>295.63</v>
      </c>
    </row>
    <row r="63" spans="1:11" s="121" customFormat="1" ht="14.5">
      <c r="A63" s="472"/>
      <c r="B63" s="450" t="s">
        <v>115</v>
      </c>
      <c r="C63" s="181">
        <f t="shared" si="0"/>
        <v>16837.34</v>
      </c>
      <c r="D63" s="201">
        <v>241.34</v>
      </c>
      <c r="E63" s="201">
        <v>1660.3</v>
      </c>
      <c r="F63" s="184">
        <f t="shared" si="1"/>
        <v>6386.48</v>
      </c>
      <c r="G63" s="201">
        <v>1114.27</v>
      </c>
      <c r="H63" s="201">
        <v>5272.21</v>
      </c>
      <c r="I63" s="201">
        <v>5909.81</v>
      </c>
      <c r="J63" s="201">
        <v>2351.11</v>
      </c>
      <c r="K63" s="201">
        <v>288.3</v>
      </c>
    </row>
    <row r="64" spans="1:11" s="121" customFormat="1" ht="14.5">
      <c r="A64" s="473"/>
      <c r="B64" s="452" t="s">
        <v>116</v>
      </c>
      <c r="C64" s="187">
        <f t="shared" si="0"/>
        <v>17040.919999999998</v>
      </c>
      <c r="D64" s="187">
        <v>282.17</v>
      </c>
      <c r="E64" s="187">
        <v>1688.48</v>
      </c>
      <c r="F64" s="190">
        <f t="shared" si="1"/>
        <v>6520.52</v>
      </c>
      <c r="G64" s="202">
        <v>1057.76</v>
      </c>
      <c r="H64" s="202">
        <v>5462.76</v>
      </c>
      <c r="I64" s="202">
        <v>5899.69</v>
      </c>
      <c r="J64" s="202">
        <v>2269.21</v>
      </c>
      <c r="K64" s="202">
        <v>380.85</v>
      </c>
    </row>
    <row r="65" spans="1:11" s="121" customFormat="1" ht="14.5">
      <c r="A65" s="471">
        <v>2016</v>
      </c>
      <c r="B65" s="454" t="s">
        <v>105</v>
      </c>
      <c r="C65" s="181">
        <f t="shared" si="0"/>
        <v>16750.689999999999</v>
      </c>
      <c r="D65" s="196">
        <v>227.65</v>
      </c>
      <c r="E65" s="203">
        <v>1372.77</v>
      </c>
      <c r="F65" s="184">
        <f t="shared" si="1"/>
        <v>6626.88</v>
      </c>
      <c r="G65" s="203">
        <v>972.8</v>
      </c>
      <c r="H65" s="196">
        <v>5654.08</v>
      </c>
      <c r="I65" s="203">
        <v>5852.91</v>
      </c>
      <c r="J65" s="196">
        <v>2290.2399999999998</v>
      </c>
      <c r="K65" s="203">
        <v>380.24</v>
      </c>
    </row>
    <row r="66" spans="1:11" s="121" customFormat="1" ht="14.5">
      <c r="A66" s="472"/>
      <c r="B66" s="455" t="s">
        <v>106</v>
      </c>
      <c r="C66" s="181">
        <f t="shared" si="0"/>
        <v>16806.650000000001</v>
      </c>
      <c r="D66" s="193">
        <v>237.8</v>
      </c>
      <c r="E66" s="181">
        <v>1501.55</v>
      </c>
      <c r="F66" s="184">
        <f t="shared" si="1"/>
        <v>6546.8</v>
      </c>
      <c r="G66" s="181">
        <v>919.93</v>
      </c>
      <c r="H66" s="193">
        <v>5626.87</v>
      </c>
      <c r="I66" s="201">
        <v>5793.26</v>
      </c>
      <c r="J66" s="193">
        <v>2383.5</v>
      </c>
      <c r="K66" s="201">
        <v>343.74</v>
      </c>
    </row>
    <row r="67" spans="1:11" s="121" customFormat="1" ht="14.5">
      <c r="A67" s="472"/>
      <c r="B67" s="450" t="s">
        <v>107</v>
      </c>
      <c r="C67" s="181">
        <f t="shared" si="0"/>
        <v>17320.84</v>
      </c>
      <c r="D67" s="193">
        <v>245.43</v>
      </c>
      <c r="E67" s="181">
        <v>1637.73</v>
      </c>
      <c r="F67" s="184">
        <f t="shared" si="1"/>
        <v>6603.4699999999993</v>
      </c>
      <c r="G67" s="181">
        <v>671.06</v>
      </c>
      <c r="H67" s="193">
        <v>5932.41</v>
      </c>
      <c r="I67" s="201">
        <v>5861.74</v>
      </c>
      <c r="J67" s="182">
        <v>2499.6999999999998</v>
      </c>
      <c r="K67" s="201">
        <v>472.77</v>
      </c>
    </row>
    <row r="68" spans="1:11" s="121" customFormat="1" ht="14.5">
      <c r="A68" s="472"/>
      <c r="B68" s="455" t="s">
        <v>108</v>
      </c>
      <c r="C68" s="181">
        <f t="shared" si="0"/>
        <v>16872.579999999998</v>
      </c>
      <c r="D68" s="193">
        <v>251.56</v>
      </c>
      <c r="E68" s="181">
        <v>1484.38</v>
      </c>
      <c r="F68" s="184">
        <f t="shared" si="1"/>
        <v>6535.8399999999992</v>
      </c>
      <c r="G68" s="181">
        <v>673.86</v>
      </c>
      <c r="H68" s="193">
        <v>5861.98</v>
      </c>
      <c r="I68" s="201">
        <v>5834.82</v>
      </c>
      <c r="J68" s="193">
        <v>2294.5300000000002</v>
      </c>
      <c r="K68" s="181">
        <v>471.45</v>
      </c>
    </row>
    <row r="69" spans="1:11" s="121" customFormat="1" ht="14.5">
      <c r="A69" s="472"/>
      <c r="B69" s="455" t="s">
        <v>109</v>
      </c>
      <c r="C69" s="181">
        <f t="shared" si="0"/>
        <v>16720.61</v>
      </c>
      <c r="D69" s="193">
        <v>248.36</v>
      </c>
      <c r="E69" s="181">
        <v>1679.95</v>
      </c>
      <c r="F69" s="184">
        <f t="shared" si="1"/>
        <v>6570.0999999999995</v>
      </c>
      <c r="G69" s="181">
        <v>675.07</v>
      </c>
      <c r="H69" s="193">
        <v>5895.03</v>
      </c>
      <c r="I69" s="201">
        <v>5845.47</v>
      </c>
      <c r="J69" s="193">
        <v>2013.75</v>
      </c>
      <c r="K69" s="181">
        <v>362.98</v>
      </c>
    </row>
    <row r="70" spans="1:11" s="121" customFormat="1" ht="14.5">
      <c r="A70" s="472"/>
      <c r="B70" s="450" t="s">
        <v>110</v>
      </c>
      <c r="C70" s="181">
        <f t="shared" si="0"/>
        <v>17249.740000000002</v>
      </c>
      <c r="D70" s="193">
        <v>266.3</v>
      </c>
      <c r="E70" s="181">
        <v>1900.01</v>
      </c>
      <c r="F70" s="184">
        <f t="shared" si="1"/>
        <v>6828.71</v>
      </c>
      <c r="G70" s="181">
        <v>698.2</v>
      </c>
      <c r="H70" s="193">
        <v>6130.51</v>
      </c>
      <c r="I70" s="201">
        <v>5797.72</v>
      </c>
      <c r="J70" s="193">
        <v>2035.68</v>
      </c>
      <c r="K70" s="181">
        <v>421.32</v>
      </c>
    </row>
    <row r="71" spans="1:11" s="121" customFormat="1" ht="14.5">
      <c r="A71" s="472"/>
      <c r="B71" s="455" t="s">
        <v>117</v>
      </c>
      <c r="C71" s="181">
        <f t="shared" ref="C71:C88" si="2">D71+E71+F71+I71+J71+K71</f>
        <v>17171.759999999998</v>
      </c>
      <c r="D71" s="193">
        <v>269.67</v>
      </c>
      <c r="E71" s="181">
        <v>1798.36</v>
      </c>
      <c r="F71" s="184">
        <f t="shared" ref="F71:F88" si="3">G71+H71</f>
        <v>6876.25</v>
      </c>
      <c r="G71" s="181">
        <v>675.53</v>
      </c>
      <c r="H71" s="193">
        <v>6200.72</v>
      </c>
      <c r="I71" s="201">
        <v>5769.83</v>
      </c>
      <c r="J71" s="193">
        <v>1993.61</v>
      </c>
      <c r="K71" s="181">
        <v>464.04</v>
      </c>
    </row>
    <row r="72" spans="1:11" s="121" customFormat="1" ht="14.5">
      <c r="A72" s="472"/>
      <c r="B72" s="450" t="s">
        <v>112</v>
      </c>
      <c r="C72" s="181">
        <f t="shared" si="2"/>
        <v>18379.530000000002</v>
      </c>
      <c r="D72" s="193">
        <v>244.2</v>
      </c>
      <c r="E72" s="181">
        <v>1754.08</v>
      </c>
      <c r="F72" s="184">
        <f t="shared" si="3"/>
        <v>8166.59</v>
      </c>
      <c r="G72" s="181">
        <v>607.08000000000004</v>
      </c>
      <c r="H72" s="193">
        <v>7559.51</v>
      </c>
      <c r="I72" s="201">
        <v>5697.97</v>
      </c>
      <c r="J72" s="193">
        <v>2137.36</v>
      </c>
      <c r="K72" s="181">
        <v>379.33</v>
      </c>
    </row>
    <row r="73" spans="1:11" s="121" customFormat="1" ht="14.5">
      <c r="A73" s="472"/>
      <c r="B73" s="455" t="s">
        <v>113</v>
      </c>
      <c r="C73" s="181">
        <f t="shared" si="2"/>
        <v>18984.849999999999</v>
      </c>
      <c r="D73" s="193">
        <v>256.52999999999997</v>
      </c>
      <c r="E73" s="181">
        <v>1865.43</v>
      </c>
      <c r="F73" s="184">
        <f t="shared" si="3"/>
        <v>8804.630000000001</v>
      </c>
      <c r="G73" s="181">
        <v>609.26</v>
      </c>
      <c r="H73" s="193">
        <v>8195.3700000000008</v>
      </c>
      <c r="I73" s="201">
        <v>5657.95</v>
      </c>
      <c r="J73" s="193">
        <v>2058.19</v>
      </c>
      <c r="K73" s="181">
        <v>342.12</v>
      </c>
    </row>
    <row r="74" spans="1:11" s="121" customFormat="1" ht="14.5">
      <c r="A74" s="472"/>
      <c r="B74" s="450" t="s">
        <v>114</v>
      </c>
      <c r="C74" s="181">
        <f t="shared" si="2"/>
        <v>17821.989999999998</v>
      </c>
      <c r="D74" s="182">
        <v>246.04</v>
      </c>
      <c r="E74" s="181">
        <v>1443.73</v>
      </c>
      <c r="F74" s="184">
        <f t="shared" si="3"/>
        <v>8454.98</v>
      </c>
      <c r="G74" s="181">
        <v>573.35</v>
      </c>
      <c r="H74" s="193">
        <v>7881.63</v>
      </c>
      <c r="I74" s="201">
        <v>5384.66</v>
      </c>
      <c r="J74" s="182">
        <v>1968.83</v>
      </c>
      <c r="K74" s="181">
        <v>323.75</v>
      </c>
    </row>
    <row r="75" spans="1:11" s="121" customFormat="1" ht="14.5">
      <c r="A75" s="472"/>
      <c r="B75" s="455" t="s">
        <v>115</v>
      </c>
      <c r="C75" s="181">
        <f t="shared" si="2"/>
        <v>17292.830000000002</v>
      </c>
      <c r="D75" s="182">
        <v>230.94</v>
      </c>
      <c r="E75" s="181">
        <v>1456.93</v>
      </c>
      <c r="F75" s="184">
        <f t="shared" si="3"/>
        <v>7978.59</v>
      </c>
      <c r="G75" s="181">
        <v>650.98</v>
      </c>
      <c r="H75" s="193">
        <v>7327.61</v>
      </c>
      <c r="I75" s="201">
        <v>5288.19</v>
      </c>
      <c r="J75" s="182">
        <v>2029.33</v>
      </c>
      <c r="K75" s="181">
        <v>308.85000000000002</v>
      </c>
    </row>
    <row r="76" spans="1:11" s="121" customFormat="1" ht="14.5">
      <c r="A76" s="473"/>
      <c r="B76" s="452" t="s">
        <v>116</v>
      </c>
      <c r="C76" s="187">
        <f t="shared" si="2"/>
        <v>17952.55</v>
      </c>
      <c r="D76" s="188">
        <v>250.8</v>
      </c>
      <c r="E76" s="202">
        <v>1803.87</v>
      </c>
      <c r="F76" s="190">
        <f t="shared" si="3"/>
        <v>8192.94</v>
      </c>
      <c r="G76" s="187">
        <v>745.8</v>
      </c>
      <c r="H76" s="200">
        <v>7447.14</v>
      </c>
      <c r="I76" s="187">
        <v>5195.12</v>
      </c>
      <c r="J76" s="188">
        <v>2170.81</v>
      </c>
      <c r="K76" s="202">
        <v>339.01</v>
      </c>
    </row>
    <row r="77" spans="1:11" s="121" customFormat="1" ht="14.5">
      <c r="A77" s="471">
        <v>2017</v>
      </c>
      <c r="B77" s="454" t="s">
        <v>105</v>
      </c>
      <c r="C77" s="181">
        <f t="shared" si="2"/>
        <v>17162.810000000001</v>
      </c>
      <c r="D77" s="177">
        <v>231.9</v>
      </c>
      <c r="E77" s="203">
        <v>1399.71</v>
      </c>
      <c r="F77" s="184">
        <f t="shared" si="3"/>
        <v>7836.43</v>
      </c>
      <c r="G77" s="203">
        <v>803.06</v>
      </c>
      <c r="H77" s="196">
        <v>7033.37</v>
      </c>
      <c r="I77" s="203">
        <v>5137.3500000000004</v>
      </c>
      <c r="J77" s="196">
        <v>2222.48</v>
      </c>
      <c r="K77" s="203">
        <v>334.94</v>
      </c>
    </row>
    <row r="78" spans="1:11" s="121" customFormat="1" ht="14.5">
      <c r="A78" s="472"/>
      <c r="B78" s="455" t="s">
        <v>106</v>
      </c>
      <c r="C78" s="181">
        <f t="shared" si="2"/>
        <v>16975.590000000004</v>
      </c>
      <c r="D78" s="182">
        <v>185.98</v>
      </c>
      <c r="E78" s="181">
        <v>1350.22</v>
      </c>
      <c r="F78" s="184">
        <f t="shared" si="3"/>
        <v>7805.42</v>
      </c>
      <c r="G78" s="181">
        <v>775.05</v>
      </c>
      <c r="H78" s="193">
        <v>7030.37</v>
      </c>
      <c r="I78" s="181">
        <v>5071.96</v>
      </c>
      <c r="J78" s="193">
        <v>2172.4299999999998</v>
      </c>
      <c r="K78" s="181">
        <v>389.58</v>
      </c>
    </row>
    <row r="79" spans="1:11" s="121" customFormat="1" ht="14.5">
      <c r="A79" s="472"/>
      <c r="B79" s="450" t="s">
        <v>107</v>
      </c>
      <c r="C79" s="181">
        <f t="shared" si="2"/>
        <v>16962.13</v>
      </c>
      <c r="D79" s="182">
        <v>196.35</v>
      </c>
      <c r="E79" s="181">
        <v>1719.5</v>
      </c>
      <c r="F79" s="184">
        <f t="shared" si="3"/>
        <v>7522.13</v>
      </c>
      <c r="G79" s="181">
        <v>854.84</v>
      </c>
      <c r="H79" s="193">
        <v>6667.29</v>
      </c>
      <c r="I79" s="181">
        <v>5047.18</v>
      </c>
      <c r="J79" s="193">
        <v>2121.34</v>
      </c>
      <c r="K79" s="181">
        <v>355.63</v>
      </c>
    </row>
    <row r="80" spans="1:11" s="121" customFormat="1" ht="14.5">
      <c r="A80" s="472"/>
      <c r="B80" s="455" t="s">
        <v>108</v>
      </c>
      <c r="C80" s="181">
        <f t="shared" si="2"/>
        <v>17157.170000000002</v>
      </c>
      <c r="D80" s="193">
        <v>204.05</v>
      </c>
      <c r="E80" s="181">
        <v>1464.99</v>
      </c>
      <c r="F80" s="184">
        <f t="shared" si="3"/>
        <v>8044.07</v>
      </c>
      <c r="G80" s="181">
        <v>852.88</v>
      </c>
      <c r="H80" s="193">
        <v>7191.19</v>
      </c>
      <c r="I80" s="181">
        <v>5016.49</v>
      </c>
      <c r="J80" s="193">
        <v>2073.1</v>
      </c>
      <c r="K80" s="181">
        <v>354.47</v>
      </c>
    </row>
    <row r="81" spans="1:11" s="121" customFormat="1" ht="14.5">
      <c r="A81" s="472"/>
      <c r="B81" s="455" t="s">
        <v>109</v>
      </c>
      <c r="C81" s="181">
        <f t="shared" si="2"/>
        <v>16839.97</v>
      </c>
      <c r="D81" s="193">
        <v>203.65</v>
      </c>
      <c r="E81" s="181">
        <v>1402.33</v>
      </c>
      <c r="F81" s="184">
        <f t="shared" si="3"/>
        <v>7691.59</v>
      </c>
      <c r="G81" s="181">
        <v>791.28</v>
      </c>
      <c r="H81" s="193">
        <v>6900.31</v>
      </c>
      <c r="I81" s="181">
        <v>5003.4399999999996</v>
      </c>
      <c r="J81" s="193">
        <v>2092.9699999999998</v>
      </c>
      <c r="K81" s="181">
        <v>445.99</v>
      </c>
    </row>
    <row r="82" spans="1:11" s="121" customFormat="1" ht="14.5">
      <c r="A82" s="472"/>
      <c r="B82" s="450" t="s">
        <v>110</v>
      </c>
      <c r="C82" s="181">
        <f t="shared" si="2"/>
        <v>17304.79</v>
      </c>
      <c r="D82" s="193">
        <v>221.93</v>
      </c>
      <c r="E82" s="181">
        <v>1168.3399999999999</v>
      </c>
      <c r="F82" s="184">
        <f t="shared" si="3"/>
        <v>8336.5300000000007</v>
      </c>
      <c r="G82" s="181">
        <v>841.43</v>
      </c>
      <c r="H82" s="193">
        <v>7495.1</v>
      </c>
      <c r="I82" s="181">
        <v>5015.13</v>
      </c>
      <c r="J82" s="193">
        <v>2217.12</v>
      </c>
      <c r="K82" s="181">
        <v>345.74</v>
      </c>
    </row>
    <row r="83" spans="1:11" s="121" customFormat="1" ht="14.5">
      <c r="A83" s="472"/>
      <c r="B83" s="455" t="s">
        <v>117</v>
      </c>
      <c r="C83" s="181">
        <f t="shared" si="2"/>
        <v>16716.14</v>
      </c>
      <c r="D83" s="193">
        <v>175.2</v>
      </c>
      <c r="E83" s="181">
        <v>1064.49</v>
      </c>
      <c r="F83" s="184">
        <f t="shared" si="3"/>
        <v>7801.6799999999994</v>
      </c>
      <c r="G83" s="181">
        <v>749.53</v>
      </c>
      <c r="H83" s="193">
        <v>7052.15</v>
      </c>
      <c r="I83" s="181">
        <v>4977.9799999999996</v>
      </c>
      <c r="J83" s="193">
        <v>2331.8000000000002</v>
      </c>
      <c r="K83" s="181">
        <v>364.99</v>
      </c>
    </row>
    <row r="84" spans="1:11" s="121" customFormat="1" ht="14.5">
      <c r="A84" s="472"/>
      <c r="B84" s="450" t="s">
        <v>112</v>
      </c>
      <c r="C84" s="181">
        <f t="shared" si="2"/>
        <v>16813.84</v>
      </c>
      <c r="D84" s="193">
        <v>184.03</v>
      </c>
      <c r="E84" s="181">
        <v>1070.8399999999999</v>
      </c>
      <c r="F84" s="184">
        <f t="shared" si="3"/>
        <v>7857.31</v>
      </c>
      <c r="G84" s="181">
        <v>765.1</v>
      </c>
      <c r="H84" s="193">
        <v>7092.21</v>
      </c>
      <c r="I84" s="181">
        <v>5011.74</v>
      </c>
      <c r="J84" s="193">
        <v>2361.0500000000002</v>
      </c>
      <c r="K84" s="181">
        <v>328.87</v>
      </c>
    </row>
    <row r="85" spans="1:11" s="121" customFormat="1" ht="14.5">
      <c r="A85" s="472"/>
      <c r="B85" s="455" t="s">
        <v>113</v>
      </c>
      <c r="C85" s="181">
        <f t="shared" si="2"/>
        <v>17368.810000000001</v>
      </c>
      <c r="D85" s="193">
        <v>180.62</v>
      </c>
      <c r="E85" s="181">
        <v>1360.87</v>
      </c>
      <c r="F85" s="184">
        <f t="shared" si="3"/>
        <v>8242.11</v>
      </c>
      <c r="G85" s="181">
        <v>707.62</v>
      </c>
      <c r="H85" s="193">
        <v>7534.49</v>
      </c>
      <c r="I85" s="181">
        <v>4966.74</v>
      </c>
      <c r="J85" s="193">
        <v>2278.31</v>
      </c>
      <c r="K85" s="181">
        <v>340.16</v>
      </c>
    </row>
    <row r="86" spans="1:11" s="121" customFormat="1" ht="14.5">
      <c r="A86" s="472"/>
      <c r="B86" s="450" t="s">
        <v>114</v>
      </c>
      <c r="C86" s="181">
        <f t="shared" si="2"/>
        <v>17112.41</v>
      </c>
      <c r="D86" s="193">
        <v>179.04</v>
      </c>
      <c r="E86" s="181">
        <v>1107.68</v>
      </c>
      <c r="F86" s="184">
        <f t="shared" si="3"/>
        <v>8293.77</v>
      </c>
      <c r="G86" s="181">
        <v>656.57</v>
      </c>
      <c r="H86" s="193">
        <v>7637.2</v>
      </c>
      <c r="I86" s="181">
        <v>4956.05</v>
      </c>
      <c r="J86" s="193">
        <v>2256.2800000000002</v>
      </c>
      <c r="K86" s="181">
        <v>319.58999999999997</v>
      </c>
    </row>
    <row r="87" spans="1:11" s="121" customFormat="1" ht="14.5">
      <c r="A87" s="472">
        <v>2017</v>
      </c>
      <c r="B87" s="455" t="s">
        <v>115</v>
      </c>
      <c r="C87" s="181">
        <f t="shared" si="2"/>
        <v>16785.79</v>
      </c>
      <c r="D87" s="193">
        <v>153.34</v>
      </c>
      <c r="E87" s="181">
        <v>1204.6099999999999</v>
      </c>
      <c r="F87" s="184">
        <f t="shared" si="3"/>
        <v>7744.9900000000007</v>
      </c>
      <c r="G87" s="181">
        <v>606.97</v>
      </c>
      <c r="H87" s="193">
        <v>7138.02</v>
      </c>
      <c r="I87" s="181">
        <v>4939.82</v>
      </c>
      <c r="J87" s="193">
        <v>2410.2600000000002</v>
      </c>
      <c r="K87" s="201">
        <v>332.77</v>
      </c>
    </row>
    <row r="88" spans="1:11" s="121" customFormat="1" ht="14.5">
      <c r="A88" s="473"/>
      <c r="B88" s="452" t="s">
        <v>116</v>
      </c>
      <c r="C88" s="187">
        <f t="shared" si="2"/>
        <v>17484.05</v>
      </c>
      <c r="D88" s="200">
        <v>175.48</v>
      </c>
      <c r="E88" s="187">
        <v>1504.35</v>
      </c>
      <c r="F88" s="190">
        <f t="shared" si="3"/>
        <v>8177.0300000000007</v>
      </c>
      <c r="G88" s="187">
        <v>607.19000000000005</v>
      </c>
      <c r="H88" s="200">
        <v>7569.84</v>
      </c>
      <c r="I88" s="187">
        <v>4932.09</v>
      </c>
      <c r="J88" s="188">
        <v>2353.89</v>
      </c>
      <c r="K88" s="202">
        <v>341.21</v>
      </c>
    </row>
    <row r="89" spans="1:11" s="121" customFormat="1" ht="14.5">
      <c r="A89" s="471">
        <v>2018</v>
      </c>
      <c r="B89" s="454" t="s">
        <v>105</v>
      </c>
      <c r="C89" s="203">
        <f t="shared" ref="C89:C152" si="4">D89+E89+F89+I89+J89+K89</f>
        <v>16935.719999999998</v>
      </c>
      <c r="D89" s="196">
        <v>147.36000000000001</v>
      </c>
      <c r="E89" s="203">
        <v>1131.6199999999999</v>
      </c>
      <c r="F89" s="198">
        <f t="shared" ref="F89:F152" si="5">G89+H89</f>
        <v>7956.9400000000005</v>
      </c>
      <c r="G89" s="203">
        <v>653.30999999999995</v>
      </c>
      <c r="H89" s="196">
        <v>7303.63</v>
      </c>
      <c r="I89" s="203">
        <v>4926.13</v>
      </c>
      <c r="J89" s="196">
        <v>2403.21</v>
      </c>
      <c r="K89" s="203">
        <v>370.46</v>
      </c>
    </row>
    <row r="90" spans="1:11" s="121" customFormat="1" ht="14.5">
      <c r="A90" s="472"/>
      <c r="B90" s="455" t="s">
        <v>106</v>
      </c>
      <c r="C90" s="181">
        <f t="shared" si="4"/>
        <v>16675.2</v>
      </c>
      <c r="D90" s="193">
        <v>151.65</v>
      </c>
      <c r="E90" s="181">
        <v>1264.58</v>
      </c>
      <c r="F90" s="184">
        <f t="shared" si="5"/>
        <v>7603.5999999999995</v>
      </c>
      <c r="G90" s="181">
        <v>617.4</v>
      </c>
      <c r="H90" s="193">
        <v>6986.2</v>
      </c>
      <c r="I90" s="181">
        <v>4900.32</v>
      </c>
      <c r="J90" s="193">
        <v>2455.44</v>
      </c>
      <c r="K90" s="181">
        <v>299.61</v>
      </c>
    </row>
    <row r="91" spans="1:11" s="121" customFormat="1" ht="14.5">
      <c r="A91" s="472"/>
      <c r="B91" s="450" t="s">
        <v>107</v>
      </c>
      <c r="C91" s="181">
        <f t="shared" si="4"/>
        <v>17186.099999999999</v>
      </c>
      <c r="D91" s="193">
        <v>155.21</v>
      </c>
      <c r="E91" s="181">
        <v>1762.05</v>
      </c>
      <c r="F91" s="184">
        <f t="shared" si="5"/>
        <v>7665.14</v>
      </c>
      <c r="G91" s="181">
        <v>616.83000000000004</v>
      </c>
      <c r="H91" s="193">
        <v>7048.31</v>
      </c>
      <c r="I91" s="181">
        <v>4925.28</v>
      </c>
      <c r="J91" s="193">
        <v>2376.6</v>
      </c>
      <c r="K91" s="181">
        <v>301.82</v>
      </c>
    </row>
    <row r="92" spans="1:11" s="121" customFormat="1" ht="14.5">
      <c r="A92" s="472"/>
      <c r="B92" s="455" t="s">
        <v>108</v>
      </c>
      <c r="C92" s="193">
        <f t="shared" si="4"/>
        <v>16479</v>
      </c>
      <c r="D92" s="181">
        <v>152.84</v>
      </c>
      <c r="E92" s="181">
        <v>1148.56</v>
      </c>
      <c r="F92" s="194">
        <f t="shared" si="5"/>
        <v>7584.9400000000005</v>
      </c>
      <c r="G92" s="181">
        <v>612.98</v>
      </c>
      <c r="H92" s="181">
        <v>6971.96</v>
      </c>
      <c r="I92" s="181">
        <v>4938.33</v>
      </c>
      <c r="J92" s="181">
        <v>2376.87</v>
      </c>
      <c r="K92" s="204">
        <v>277.45999999999998</v>
      </c>
    </row>
    <row r="93" spans="1:11" s="121" customFormat="1" ht="14.5">
      <c r="A93" s="472"/>
      <c r="B93" s="455" t="s">
        <v>109</v>
      </c>
      <c r="C93" s="193">
        <f t="shared" si="4"/>
        <v>16405.150000000001</v>
      </c>
      <c r="D93" s="201">
        <v>167.8</v>
      </c>
      <c r="E93" s="181">
        <v>1195.74</v>
      </c>
      <c r="F93" s="194">
        <f t="shared" si="5"/>
        <v>7340.16</v>
      </c>
      <c r="G93" s="181">
        <v>626.47</v>
      </c>
      <c r="H93" s="181">
        <v>6713.69</v>
      </c>
      <c r="I93" s="181">
        <v>5042.41</v>
      </c>
      <c r="J93" s="201">
        <v>2382.56</v>
      </c>
      <c r="K93" s="204">
        <v>276.48</v>
      </c>
    </row>
    <row r="94" spans="1:11" s="121" customFormat="1" ht="14.5">
      <c r="A94" s="472"/>
      <c r="B94" s="455" t="s">
        <v>110</v>
      </c>
      <c r="C94" s="193">
        <f t="shared" si="4"/>
        <v>17712.36</v>
      </c>
      <c r="D94" s="181">
        <v>155.34</v>
      </c>
      <c r="E94" s="181">
        <v>1655.48</v>
      </c>
      <c r="F94" s="194">
        <f t="shared" si="5"/>
        <v>7990.14</v>
      </c>
      <c r="G94" s="181">
        <v>624.97</v>
      </c>
      <c r="H94" s="181">
        <v>7365.17</v>
      </c>
      <c r="I94" s="181">
        <v>5170.76</v>
      </c>
      <c r="J94" s="201">
        <v>2466.73</v>
      </c>
      <c r="K94" s="204">
        <v>273.91000000000003</v>
      </c>
    </row>
    <row r="95" spans="1:11" s="121" customFormat="1" ht="14.5">
      <c r="A95" s="472"/>
      <c r="B95" s="450" t="s">
        <v>117</v>
      </c>
      <c r="C95" s="181">
        <f t="shared" si="4"/>
        <v>17396.93</v>
      </c>
      <c r="D95" s="181">
        <v>154.06</v>
      </c>
      <c r="E95" s="181">
        <v>1215.6400000000001</v>
      </c>
      <c r="F95" s="194">
        <f t="shared" si="5"/>
        <v>8129.78</v>
      </c>
      <c r="G95" s="181">
        <v>610.88</v>
      </c>
      <c r="H95" s="181">
        <v>7518.9</v>
      </c>
      <c r="I95" s="181">
        <v>5161.97</v>
      </c>
      <c r="J95" s="181">
        <v>2456.31</v>
      </c>
      <c r="K95" s="181">
        <v>279.17</v>
      </c>
    </row>
    <row r="96" spans="1:11" s="121" customFormat="1" ht="14.5">
      <c r="A96" s="472"/>
      <c r="B96" s="450" t="s">
        <v>112</v>
      </c>
      <c r="C96" s="181">
        <f t="shared" si="4"/>
        <v>17261.489999999998</v>
      </c>
      <c r="D96" s="201">
        <v>141.78</v>
      </c>
      <c r="E96" s="181">
        <v>1242.8</v>
      </c>
      <c r="F96" s="194">
        <f t="shared" si="5"/>
        <v>7905.7</v>
      </c>
      <c r="G96" s="181">
        <v>625.86</v>
      </c>
      <c r="H96" s="181">
        <v>7279.84</v>
      </c>
      <c r="I96" s="181">
        <v>5223.8999999999996</v>
      </c>
      <c r="J96" s="181">
        <v>2464.5300000000002</v>
      </c>
      <c r="K96" s="181">
        <v>282.77999999999997</v>
      </c>
    </row>
    <row r="97" spans="1:11" s="121" customFormat="1" ht="14.5">
      <c r="A97" s="472"/>
      <c r="B97" s="450" t="s">
        <v>113</v>
      </c>
      <c r="C97" s="181">
        <f t="shared" si="4"/>
        <v>17528.399999999998</v>
      </c>
      <c r="D97" s="201">
        <v>137.47</v>
      </c>
      <c r="E97" s="181">
        <v>1473.08</v>
      </c>
      <c r="F97" s="194">
        <f t="shared" si="5"/>
        <v>8055.95</v>
      </c>
      <c r="G97" s="181">
        <v>618.57000000000005</v>
      </c>
      <c r="H97" s="181">
        <v>7437.38</v>
      </c>
      <c r="I97" s="181">
        <v>5193.08</v>
      </c>
      <c r="J97" s="181">
        <v>2387.9699999999998</v>
      </c>
      <c r="K97" s="181">
        <v>280.85000000000002</v>
      </c>
    </row>
    <row r="98" spans="1:11" s="121" customFormat="1" ht="14.5">
      <c r="A98" s="472"/>
      <c r="B98" s="455" t="s">
        <v>114</v>
      </c>
      <c r="C98" s="193">
        <f t="shared" si="4"/>
        <v>16637.95</v>
      </c>
      <c r="D98" s="181">
        <v>149.36000000000001</v>
      </c>
      <c r="E98" s="181">
        <v>1226.6500000000001</v>
      </c>
      <c r="F98" s="194">
        <f t="shared" si="5"/>
        <v>7515.6</v>
      </c>
      <c r="G98" s="181">
        <v>603.71</v>
      </c>
      <c r="H98" s="181">
        <v>6911.89</v>
      </c>
      <c r="I98" s="181">
        <v>5182.9799999999996</v>
      </c>
      <c r="J98" s="181">
        <v>2290.9699999999998</v>
      </c>
      <c r="K98" s="204">
        <v>272.39</v>
      </c>
    </row>
    <row r="99" spans="1:11" s="121" customFormat="1" ht="14.5">
      <c r="A99" s="472"/>
      <c r="B99" s="455" t="s">
        <v>115</v>
      </c>
      <c r="C99" s="193">
        <f t="shared" si="4"/>
        <v>16500.5</v>
      </c>
      <c r="D99" s="181">
        <v>153.09</v>
      </c>
      <c r="E99" s="181">
        <v>1223.26</v>
      </c>
      <c r="F99" s="194">
        <f t="shared" si="5"/>
        <v>7308.29</v>
      </c>
      <c r="G99" s="181">
        <v>586.97</v>
      </c>
      <c r="H99" s="181">
        <v>6721.32</v>
      </c>
      <c r="I99" s="181">
        <v>5282.97</v>
      </c>
      <c r="J99" s="181">
        <v>2246.59</v>
      </c>
      <c r="K99" s="204">
        <v>286.3</v>
      </c>
    </row>
    <row r="100" spans="1:11" s="121" customFormat="1" ht="14.5">
      <c r="A100" s="473"/>
      <c r="B100" s="456" t="s">
        <v>116</v>
      </c>
      <c r="C100" s="200">
        <f t="shared" si="4"/>
        <v>18330.780000000002</v>
      </c>
      <c r="D100" s="202">
        <v>171.25</v>
      </c>
      <c r="E100" s="202">
        <v>1453.01</v>
      </c>
      <c r="F100" s="190">
        <f t="shared" si="5"/>
        <v>8751.17</v>
      </c>
      <c r="G100" s="202">
        <v>558.22</v>
      </c>
      <c r="H100" s="202">
        <v>8192.9500000000007</v>
      </c>
      <c r="I100" s="202">
        <v>5267.47</v>
      </c>
      <c r="J100" s="202">
        <v>2359.4699999999998</v>
      </c>
      <c r="K100" s="205">
        <v>328.41</v>
      </c>
    </row>
    <row r="101" spans="1:11" s="121" customFormat="1" ht="14.5">
      <c r="A101" s="471">
        <v>2019</v>
      </c>
      <c r="B101" s="454" t="s">
        <v>105</v>
      </c>
      <c r="C101" s="196">
        <f t="shared" si="4"/>
        <v>17371</v>
      </c>
      <c r="D101" s="203">
        <v>145.08000000000001</v>
      </c>
      <c r="E101" s="203">
        <v>1163.0999999999999</v>
      </c>
      <c r="F101" s="197">
        <f t="shared" si="5"/>
        <v>8060.1299999999992</v>
      </c>
      <c r="G101" s="203">
        <v>540.30999999999995</v>
      </c>
      <c r="H101" s="203">
        <v>7519.82</v>
      </c>
      <c r="I101" s="203">
        <v>5272</v>
      </c>
      <c r="J101" s="206">
        <v>2351.67</v>
      </c>
      <c r="K101" s="206">
        <v>379.02</v>
      </c>
    </row>
    <row r="102" spans="1:11" s="121" customFormat="1" ht="14.5">
      <c r="A102" s="472"/>
      <c r="B102" s="455" t="s">
        <v>106</v>
      </c>
      <c r="C102" s="193">
        <f t="shared" si="4"/>
        <v>17092.469999999998</v>
      </c>
      <c r="D102" s="181">
        <v>147.71</v>
      </c>
      <c r="E102" s="181">
        <v>1275.21</v>
      </c>
      <c r="F102" s="194">
        <f t="shared" si="5"/>
        <v>7744.0400000000009</v>
      </c>
      <c r="G102" s="181">
        <v>530.77</v>
      </c>
      <c r="H102" s="181">
        <v>7213.27</v>
      </c>
      <c r="I102" s="181">
        <v>5218.7</v>
      </c>
      <c r="J102" s="201">
        <v>2366.89</v>
      </c>
      <c r="K102" s="201">
        <v>339.92</v>
      </c>
    </row>
    <row r="103" spans="1:11" s="121" customFormat="1" ht="14.5">
      <c r="A103" s="472"/>
      <c r="B103" s="450" t="s">
        <v>107</v>
      </c>
      <c r="C103" s="193">
        <f t="shared" si="4"/>
        <v>18023.84</v>
      </c>
      <c r="D103" s="181">
        <v>151.32</v>
      </c>
      <c r="E103" s="181">
        <v>1995.82</v>
      </c>
      <c r="F103" s="194">
        <f t="shared" si="5"/>
        <v>8030.18</v>
      </c>
      <c r="G103" s="181">
        <v>534.37</v>
      </c>
      <c r="H103" s="181">
        <v>7495.81</v>
      </c>
      <c r="I103" s="181">
        <v>5208.63</v>
      </c>
      <c r="J103" s="201">
        <v>2317.38</v>
      </c>
      <c r="K103" s="201">
        <v>320.51</v>
      </c>
    </row>
    <row r="104" spans="1:11" s="121" customFormat="1" ht="14.5">
      <c r="A104" s="472"/>
      <c r="B104" s="455" t="s">
        <v>108</v>
      </c>
      <c r="C104" s="193">
        <f t="shared" si="4"/>
        <v>17527.600000000002</v>
      </c>
      <c r="D104" s="181">
        <v>153.27000000000001</v>
      </c>
      <c r="E104" s="181">
        <v>1349.07</v>
      </c>
      <c r="F104" s="194">
        <f t="shared" si="5"/>
        <v>7992.5300000000007</v>
      </c>
      <c r="G104" s="181">
        <v>525.14</v>
      </c>
      <c r="H104" s="181">
        <v>7467.39</v>
      </c>
      <c r="I104" s="181">
        <v>5295.09</v>
      </c>
      <c r="J104" s="181">
        <v>2421.0500000000002</v>
      </c>
      <c r="K104" s="181">
        <v>316.58999999999997</v>
      </c>
    </row>
    <row r="105" spans="1:11" s="121" customFormat="1" ht="14.5">
      <c r="A105" s="472"/>
      <c r="B105" s="455" t="s">
        <v>109</v>
      </c>
      <c r="C105" s="193">
        <f t="shared" si="4"/>
        <v>16783.91</v>
      </c>
      <c r="D105" s="181">
        <v>147.91</v>
      </c>
      <c r="E105" s="181">
        <v>1321.72</v>
      </c>
      <c r="F105" s="194">
        <f t="shared" si="5"/>
        <v>7251.47</v>
      </c>
      <c r="G105" s="181">
        <v>515.84</v>
      </c>
      <c r="H105" s="181">
        <v>6735.63</v>
      </c>
      <c r="I105" s="181">
        <v>5296.25</v>
      </c>
      <c r="J105" s="181">
        <v>2443.1799999999998</v>
      </c>
      <c r="K105" s="181">
        <v>323.38</v>
      </c>
    </row>
    <row r="106" spans="1:11" s="121" customFormat="1" ht="14.5">
      <c r="A106" s="472"/>
      <c r="B106" s="455" t="s">
        <v>110</v>
      </c>
      <c r="C106" s="193">
        <f t="shared" si="4"/>
        <v>17264.75</v>
      </c>
      <c r="D106" s="181">
        <v>145.51</v>
      </c>
      <c r="E106" s="181">
        <v>1620.12</v>
      </c>
      <c r="F106" s="194">
        <f t="shared" si="5"/>
        <v>7424.6</v>
      </c>
      <c r="G106" s="181">
        <v>514.71</v>
      </c>
      <c r="H106" s="181">
        <v>6909.89</v>
      </c>
      <c r="I106" s="181">
        <v>5302.86</v>
      </c>
      <c r="J106" s="181">
        <v>2434.1</v>
      </c>
      <c r="K106" s="181">
        <v>337.56</v>
      </c>
    </row>
    <row r="107" spans="1:11" s="121" customFormat="1" ht="14.5">
      <c r="A107" s="472"/>
      <c r="B107" s="450" t="s">
        <v>117</v>
      </c>
      <c r="C107" s="193">
        <f t="shared" si="4"/>
        <v>17096.490000000002</v>
      </c>
      <c r="D107" s="181">
        <v>157.86000000000001</v>
      </c>
      <c r="E107" s="201">
        <v>1229.3900000000001</v>
      </c>
      <c r="F107" s="194">
        <f t="shared" si="5"/>
        <v>7757.38</v>
      </c>
      <c r="G107" s="201">
        <v>497.46</v>
      </c>
      <c r="H107" s="201">
        <v>7259.92</v>
      </c>
      <c r="I107" s="201">
        <v>5311.28</v>
      </c>
      <c r="J107" s="201">
        <v>2329.9899999999998</v>
      </c>
      <c r="K107" s="201">
        <v>310.58999999999997</v>
      </c>
    </row>
    <row r="108" spans="1:11" s="121" customFormat="1" ht="14.5">
      <c r="A108" s="472"/>
      <c r="B108" s="450" t="s">
        <v>112</v>
      </c>
      <c r="C108" s="193">
        <f t="shared" si="4"/>
        <v>16891.019999999997</v>
      </c>
      <c r="D108" s="181">
        <v>159.41999999999999</v>
      </c>
      <c r="E108" s="201">
        <v>1093.98</v>
      </c>
      <c r="F108" s="194">
        <f t="shared" si="5"/>
        <v>7481.11</v>
      </c>
      <c r="G108" s="201">
        <v>540.87</v>
      </c>
      <c r="H108" s="201">
        <v>6940.24</v>
      </c>
      <c r="I108" s="201">
        <v>5597.11</v>
      </c>
      <c r="J108" s="201">
        <v>2242.33</v>
      </c>
      <c r="K108" s="201">
        <v>317.07</v>
      </c>
    </row>
    <row r="109" spans="1:11" s="121" customFormat="1" ht="14.5">
      <c r="A109" s="472"/>
      <c r="B109" s="450" t="s">
        <v>113</v>
      </c>
      <c r="C109" s="182">
        <f t="shared" si="4"/>
        <v>16853.629999999997</v>
      </c>
      <c r="D109" s="201">
        <v>150.77000000000001</v>
      </c>
      <c r="E109" s="201">
        <v>1267.45</v>
      </c>
      <c r="F109" s="183">
        <f t="shared" si="5"/>
        <v>7311.49</v>
      </c>
      <c r="G109" s="201">
        <v>516.11</v>
      </c>
      <c r="H109" s="201">
        <v>6795.38</v>
      </c>
      <c r="I109" s="201">
        <v>5650.14</v>
      </c>
      <c r="J109" s="201">
        <v>2158.27</v>
      </c>
      <c r="K109" s="201">
        <v>315.51</v>
      </c>
    </row>
    <row r="110" spans="1:11" s="121" customFormat="1" ht="14.5">
      <c r="A110" s="472"/>
      <c r="B110" s="455" t="s">
        <v>186</v>
      </c>
      <c r="C110" s="181">
        <f t="shared" si="4"/>
        <v>16185.28</v>
      </c>
      <c r="D110" s="181">
        <v>146.07</v>
      </c>
      <c r="E110" s="181">
        <v>1068.9100000000001</v>
      </c>
      <c r="F110" s="194">
        <f t="shared" si="5"/>
        <v>6806.2000000000007</v>
      </c>
      <c r="G110" s="181">
        <v>506.48</v>
      </c>
      <c r="H110" s="181">
        <v>6299.72</v>
      </c>
      <c r="I110" s="181">
        <v>5658.12</v>
      </c>
      <c r="J110" s="181">
        <v>2146.38</v>
      </c>
      <c r="K110" s="181">
        <v>359.6</v>
      </c>
    </row>
    <row r="111" spans="1:11" s="121" customFormat="1" ht="14.5">
      <c r="A111" s="472"/>
      <c r="B111" s="455" t="s">
        <v>115</v>
      </c>
      <c r="C111" s="181">
        <f t="shared" si="4"/>
        <v>16286.32</v>
      </c>
      <c r="D111" s="181">
        <v>147.63999999999999</v>
      </c>
      <c r="E111" s="181">
        <v>1080.1099999999999</v>
      </c>
      <c r="F111" s="194">
        <f t="shared" si="5"/>
        <v>6801.1699999999992</v>
      </c>
      <c r="G111" s="181">
        <v>502.94</v>
      </c>
      <c r="H111" s="181">
        <v>6298.23</v>
      </c>
      <c r="I111" s="181">
        <v>5713.69</v>
      </c>
      <c r="J111" s="181">
        <v>2214.92</v>
      </c>
      <c r="K111" s="181">
        <v>328.79</v>
      </c>
    </row>
    <row r="112" spans="1:11" s="121" customFormat="1" ht="14.5">
      <c r="A112" s="473"/>
      <c r="B112" s="456" t="s">
        <v>116</v>
      </c>
      <c r="C112" s="187">
        <f t="shared" si="4"/>
        <v>18608.57</v>
      </c>
      <c r="D112" s="187">
        <v>181.15</v>
      </c>
      <c r="E112" s="187">
        <v>2112.5100000000002</v>
      </c>
      <c r="F112" s="190">
        <f t="shared" si="5"/>
        <v>7875.79</v>
      </c>
      <c r="G112" s="187">
        <v>551.54</v>
      </c>
      <c r="H112" s="187">
        <v>7324.25</v>
      </c>
      <c r="I112" s="187">
        <v>5705.94</v>
      </c>
      <c r="J112" s="187">
        <v>2276.04</v>
      </c>
      <c r="K112" s="187">
        <v>457.14</v>
      </c>
    </row>
    <row r="113" spans="1:11" s="121" customFormat="1" ht="14.5">
      <c r="A113" s="471">
        <v>2020</v>
      </c>
      <c r="B113" s="454" t="s">
        <v>105</v>
      </c>
      <c r="C113" s="203">
        <f t="shared" si="4"/>
        <v>17678.436951800981</v>
      </c>
      <c r="D113" s="203">
        <v>165.07582559235141</v>
      </c>
      <c r="E113" s="203">
        <v>932.55088225999998</v>
      </c>
      <c r="F113" s="197">
        <f t="shared" si="5"/>
        <v>7964.1761452584851</v>
      </c>
      <c r="G113" s="203">
        <v>552.32185877232996</v>
      </c>
      <c r="H113" s="203">
        <v>7411.8542864861556</v>
      </c>
      <c r="I113" s="203">
        <v>5795.3982670491778</v>
      </c>
      <c r="J113" s="203">
        <v>2466.4835196346357</v>
      </c>
      <c r="K113" s="203">
        <v>354.75231200632976</v>
      </c>
    </row>
    <row r="114" spans="1:11" s="121" customFormat="1" ht="14.5">
      <c r="A114" s="472"/>
      <c r="B114" s="455" t="s">
        <v>106</v>
      </c>
      <c r="C114" s="181">
        <f t="shared" si="4"/>
        <v>17243.117260896059</v>
      </c>
      <c r="D114" s="181">
        <v>145.15635088707839</v>
      </c>
      <c r="E114" s="181">
        <v>955.33318162</v>
      </c>
      <c r="F114" s="194">
        <f t="shared" si="5"/>
        <v>7472.6419492649666</v>
      </c>
      <c r="G114" s="181">
        <v>561.0177450755325</v>
      </c>
      <c r="H114" s="181">
        <v>6911.6242041894338</v>
      </c>
      <c r="I114" s="181">
        <v>5826.9050688929137</v>
      </c>
      <c r="J114" s="181">
        <v>2484.0105647188752</v>
      </c>
      <c r="K114" s="181">
        <v>359.07014551222591</v>
      </c>
    </row>
    <row r="115" spans="1:11" s="121" customFormat="1" ht="14.5">
      <c r="A115" s="472"/>
      <c r="B115" s="455" t="s">
        <v>107</v>
      </c>
      <c r="C115" s="207">
        <f t="shared" si="4"/>
        <v>17942.552103438917</v>
      </c>
      <c r="D115" s="181">
        <v>171.51110642150505</v>
      </c>
      <c r="E115" s="181">
        <v>1639.2504350300003</v>
      </c>
      <c r="F115" s="194">
        <f t="shared" si="5"/>
        <v>7566.9093708422533</v>
      </c>
      <c r="G115" s="181">
        <v>517.71582922896005</v>
      </c>
      <c r="H115" s="181">
        <v>7049.1935416132928</v>
      </c>
      <c r="I115" s="181">
        <v>5834.7268142518324</v>
      </c>
      <c r="J115" s="181">
        <v>2358.8678588843441</v>
      </c>
      <c r="K115" s="181">
        <v>371.28651800898194</v>
      </c>
    </row>
    <row r="116" spans="1:11" s="121" customFormat="1" ht="14.5">
      <c r="A116" s="472"/>
      <c r="B116" s="455" t="s">
        <v>108</v>
      </c>
      <c r="C116" s="193">
        <f t="shared" si="4"/>
        <v>17762.587603853928</v>
      </c>
      <c r="D116" s="181">
        <v>166.36845092973294</v>
      </c>
      <c r="E116" s="181">
        <v>1107.2714051099999</v>
      </c>
      <c r="F116" s="194">
        <f t="shared" si="5"/>
        <v>7936.2008027688371</v>
      </c>
      <c r="G116" s="181">
        <v>500.19092766291021</v>
      </c>
      <c r="H116" s="181">
        <v>7436.0098751059268</v>
      </c>
      <c r="I116" s="181">
        <v>5768.1322687249703</v>
      </c>
      <c r="J116" s="181">
        <v>2357.2970503537554</v>
      </c>
      <c r="K116" s="181">
        <v>427.31762596663214</v>
      </c>
    </row>
    <row r="117" spans="1:11" s="121" customFormat="1" ht="14.5">
      <c r="A117" s="472"/>
      <c r="B117" s="455" t="s">
        <v>109</v>
      </c>
      <c r="C117" s="193">
        <f t="shared" si="4"/>
        <v>19491.766365793341</v>
      </c>
      <c r="D117" s="181">
        <v>186.37759669464359</v>
      </c>
      <c r="E117" s="181">
        <v>2496.0091739445479</v>
      </c>
      <c r="F117" s="194">
        <f t="shared" si="5"/>
        <v>8083.0305549214472</v>
      </c>
      <c r="G117" s="181">
        <v>554.79683674833416</v>
      </c>
      <c r="H117" s="181">
        <v>7528.2337181731127</v>
      </c>
      <c r="I117" s="181">
        <v>5711.8858574231435</v>
      </c>
      <c r="J117" s="181">
        <v>2607.5577487071814</v>
      </c>
      <c r="K117" s="181">
        <v>406.90543410237643</v>
      </c>
    </row>
    <row r="118" spans="1:11" s="121" customFormat="1" ht="14.5">
      <c r="A118" s="472"/>
      <c r="B118" s="455" t="s">
        <v>110</v>
      </c>
      <c r="C118" s="193">
        <f t="shared" si="4"/>
        <v>17595.565262882566</v>
      </c>
      <c r="D118" s="181">
        <v>151.29619878576</v>
      </c>
      <c r="E118" s="181">
        <v>2095.4366282699998</v>
      </c>
      <c r="F118" s="194">
        <f t="shared" si="5"/>
        <v>6556.0544951831052</v>
      </c>
      <c r="G118" s="181">
        <v>619.51903831999994</v>
      </c>
      <c r="H118" s="181">
        <v>5936.5354568631055</v>
      </c>
      <c r="I118" s="181">
        <v>5706.5123664882885</v>
      </c>
      <c r="J118" s="181">
        <v>2728.4466845818984</v>
      </c>
      <c r="K118" s="181">
        <v>357.81888957351435</v>
      </c>
    </row>
    <row r="119" spans="1:11" s="121" customFormat="1" ht="14.5">
      <c r="A119" s="472"/>
      <c r="B119" s="455" t="s">
        <v>117</v>
      </c>
      <c r="C119" s="181">
        <f t="shared" si="4"/>
        <v>17652.139497805383</v>
      </c>
      <c r="D119" s="181">
        <v>155.24541273497545</v>
      </c>
      <c r="E119" s="181">
        <v>975.42428772999995</v>
      </c>
      <c r="F119" s="194">
        <f t="shared" si="5"/>
        <v>7590.1286471028507</v>
      </c>
      <c r="G119" s="181">
        <v>654.95542570999999</v>
      </c>
      <c r="H119" s="181">
        <v>6935.1732213928508</v>
      </c>
      <c r="I119" s="181">
        <v>5671.0423482132537</v>
      </c>
      <c r="J119" s="181">
        <v>2887.1334558950375</v>
      </c>
      <c r="K119" s="181">
        <v>373.16534612926557</v>
      </c>
    </row>
    <row r="120" spans="1:11" s="121" customFormat="1" ht="14.5">
      <c r="A120" s="472"/>
      <c r="B120" s="455" t="s">
        <v>112</v>
      </c>
      <c r="C120" s="181">
        <f t="shared" si="4"/>
        <v>17882.655060413523</v>
      </c>
      <c r="D120" s="181">
        <v>161.69229328559697</v>
      </c>
      <c r="E120" s="181">
        <v>1302.3918745899998</v>
      </c>
      <c r="F120" s="194">
        <f t="shared" si="5"/>
        <v>7535.3641436281641</v>
      </c>
      <c r="G120" s="181">
        <v>677.09161431000018</v>
      </c>
      <c r="H120" s="181">
        <v>6858.2725293181638</v>
      </c>
      <c r="I120" s="181">
        <v>5606.3958160639768</v>
      </c>
      <c r="J120" s="181">
        <v>2919.6886004432445</v>
      </c>
      <c r="K120" s="181">
        <v>357.12233240253795</v>
      </c>
    </row>
    <row r="121" spans="1:11" s="121" customFormat="1" ht="14.5">
      <c r="A121" s="472"/>
      <c r="B121" s="455" t="s">
        <v>113</v>
      </c>
      <c r="C121" s="181">
        <f t="shared" si="4"/>
        <v>17912.367939834221</v>
      </c>
      <c r="D121" s="181">
        <v>158.28962703003802</v>
      </c>
      <c r="E121" s="181">
        <v>1290.25352146</v>
      </c>
      <c r="F121" s="194">
        <f t="shared" si="5"/>
        <v>7352.8343230319133</v>
      </c>
      <c r="G121" s="181">
        <v>664.75999855857981</v>
      </c>
      <c r="H121" s="181">
        <v>6688.074324473333</v>
      </c>
      <c r="I121" s="181">
        <v>5654.8754887405512</v>
      </c>
      <c r="J121" s="181">
        <v>3118.6464890920129</v>
      </c>
      <c r="K121" s="181">
        <v>337.46849047970306</v>
      </c>
    </row>
    <row r="122" spans="1:11" s="121" customFormat="1" ht="14.5">
      <c r="A122" s="472"/>
      <c r="B122" s="455" t="s">
        <v>114</v>
      </c>
      <c r="C122" s="193">
        <f t="shared" si="4"/>
        <v>18124.127184391611</v>
      </c>
      <c r="D122" s="181">
        <v>156.63806594954599</v>
      </c>
      <c r="E122" s="181">
        <v>1225.7812915500001</v>
      </c>
      <c r="F122" s="194">
        <f t="shared" si="5"/>
        <v>7482.4892892760254</v>
      </c>
      <c r="G122" s="181">
        <v>722.83544118798375</v>
      </c>
      <c r="H122" s="181">
        <v>6759.6538480880417</v>
      </c>
      <c r="I122" s="181">
        <v>5658.3198753789138</v>
      </c>
      <c r="J122" s="181">
        <v>3259.2744513672633</v>
      </c>
      <c r="K122" s="181">
        <v>341.62421086986421</v>
      </c>
    </row>
    <row r="123" spans="1:11" s="121" customFormat="1" ht="14.5">
      <c r="A123" s="472"/>
      <c r="B123" s="455" t="s">
        <v>115</v>
      </c>
      <c r="C123" s="193">
        <f t="shared" si="4"/>
        <v>18125.900455110361</v>
      </c>
      <c r="D123" s="181">
        <v>161.534994736014</v>
      </c>
      <c r="E123" s="181">
        <v>1501.8395706199999</v>
      </c>
      <c r="F123" s="194">
        <f t="shared" si="5"/>
        <v>7077.1522504975001</v>
      </c>
      <c r="G123" s="181">
        <v>735.85635056853755</v>
      </c>
      <c r="H123" s="181">
        <v>6341.2958999289622</v>
      </c>
      <c r="I123" s="181">
        <v>5713.5336564764866</v>
      </c>
      <c r="J123" s="181">
        <v>3312.9817842143361</v>
      </c>
      <c r="K123" s="181">
        <v>358.85819856602359</v>
      </c>
    </row>
    <row r="124" spans="1:11" s="121" customFormat="1" ht="14.5">
      <c r="A124" s="473"/>
      <c r="B124" s="456" t="s">
        <v>116</v>
      </c>
      <c r="C124" s="200">
        <f t="shared" si="4"/>
        <v>18272.453892056168</v>
      </c>
      <c r="D124" s="187">
        <v>185.74196087571499</v>
      </c>
      <c r="E124" s="187">
        <v>1503.07607211</v>
      </c>
      <c r="F124" s="190">
        <f t="shared" si="5"/>
        <v>7435.5646447364452</v>
      </c>
      <c r="G124" s="187">
        <v>762.86033353021412</v>
      </c>
      <c r="H124" s="187">
        <v>6672.7043112062311</v>
      </c>
      <c r="I124" s="187">
        <v>5659.0601272702488</v>
      </c>
      <c r="J124" s="187">
        <v>3119.8214933037052</v>
      </c>
      <c r="K124" s="187">
        <v>369.18959376005392</v>
      </c>
    </row>
    <row r="125" spans="1:11" s="121" customFormat="1" ht="14.5">
      <c r="A125" s="471">
        <v>2021</v>
      </c>
      <c r="B125" s="454" t="s">
        <v>105</v>
      </c>
      <c r="C125" s="196">
        <f t="shared" si="4"/>
        <v>17508.716880858883</v>
      </c>
      <c r="D125" s="203">
        <v>153.49419525807298</v>
      </c>
      <c r="E125" s="203">
        <v>1131.16282222</v>
      </c>
      <c r="F125" s="197">
        <f t="shared" si="5"/>
        <v>7289.7345127586932</v>
      </c>
      <c r="G125" s="203">
        <v>744.60651952151693</v>
      </c>
      <c r="H125" s="203">
        <v>6545.1279932371763</v>
      </c>
      <c r="I125" s="203">
        <v>5483.3243164430824</v>
      </c>
      <c r="J125" s="203">
        <v>3117.1088821125327</v>
      </c>
      <c r="K125" s="203">
        <v>333.89215206650084</v>
      </c>
    </row>
    <row r="126" spans="1:11" s="121" customFormat="1" ht="14.5">
      <c r="A126" s="472"/>
      <c r="B126" s="455" t="s">
        <v>106</v>
      </c>
      <c r="C126" s="193">
        <f t="shared" si="4"/>
        <v>17584.82102919502</v>
      </c>
      <c r="D126" s="181">
        <v>151.05845355730222</v>
      </c>
      <c r="E126" s="181">
        <v>1183.2224425100001</v>
      </c>
      <c r="F126" s="194">
        <f t="shared" si="5"/>
        <v>7306.3239720132869</v>
      </c>
      <c r="G126" s="181">
        <v>730.06025061768673</v>
      </c>
      <c r="H126" s="181">
        <v>6576.2637213956004</v>
      </c>
      <c r="I126" s="181">
        <v>5580.6502576838202</v>
      </c>
      <c r="J126" s="181">
        <v>3030.943755725656</v>
      </c>
      <c r="K126" s="181">
        <v>332.6221477049553</v>
      </c>
    </row>
    <row r="127" spans="1:11" s="121" customFormat="1" ht="14.5">
      <c r="A127" s="472"/>
      <c r="B127" s="455" t="s">
        <v>107</v>
      </c>
      <c r="C127" s="193">
        <f t="shared" si="4"/>
        <v>18088.184082631979</v>
      </c>
      <c r="D127" s="181">
        <v>157.88952367221145</v>
      </c>
      <c r="E127" s="181">
        <v>1610.4885981499999</v>
      </c>
      <c r="F127" s="194">
        <f t="shared" si="5"/>
        <v>7130.046656566079</v>
      </c>
      <c r="G127" s="181">
        <v>724.36031758872355</v>
      </c>
      <c r="H127" s="181">
        <v>6405.6863389773553</v>
      </c>
      <c r="I127" s="181">
        <v>5668.2139254602826</v>
      </c>
      <c r="J127" s="181">
        <v>3201.9343595833784</v>
      </c>
      <c r="K127" s="181">
        <v>319.61101920002773</v>
      </c>
    </row>
    <row r="128" spans="1:11" s="121" customFormat="1" ht="14.5">
      <c r="A128" s="472"/>
      <c r="B128" s="455" t="s">
        <v>108</v>
      </c>
      <c r="C128" s="193">
        <f t="shared" si="4"/>
        <v>18086.067944761031</v>
      </c>
      <c r="D128" s="181">
        <v>156.423157825462</v>
      </c>
      <c r="E128" s="181">
        <v>1075.82055113</v>
      </c>
      <c r="F128" s="194">
        <f t="shared" si="5"/>
        <v>7508.6895000421719</v>
      </c>
      <c r="G128" s="181">
        <v>693.75025619462713</v>
      </c>
      <c r="H128" s="181">
        <v>6814.9392438475443</v>
      </c>
      <c r="I128" s="181">
        <v>5655.0505406782049</v>
      </c>
      <c r="J128" s="181">
        <v>3235.7414253385418</v>
      </c>
      <c r="K128" s="181">
        <v>454.34276974665073</v>
      </c>
    </row>
    <row r="129" spans="1:11" s="121" customFormat="1" ht="14.5">
      <c r="A129" s="472"/>
      <c r="B129" s="455" t="s">
        <v>109</v>
      </c>
      <c r="C129" s="193">
        <f t="shared" si="4"/>
        <v>18147.081543655804</v>
      </c>
      <c r="D129" s="181">
        <v>148.01331798314848</v>
      </c>
      <c r="E129" s="181">
        <v>1179.6488557500002</v>
      </c>
      <c r="F129" s="194">
        <f t="shared" si="5"/>
        <v>7263.8700875636314</v>
      </c>
      <c r="G129" s="181">
        <v>730.35536879539745</v>
      </c>
      <c r="H129" s="181">
        <v>6533.5147187682342</v>
      </c>
      <c r="I129" s="181">
        <v>5695.0982376952716</v>
      </c>
      <c r="J129" s="181">
        <v>3358.640651766053</v>
      </c>
      <c r="K129" s="181">
        <v>501.81039289769814</v>
      </c>
    </row>
    <row r="130" spans="1:11" s="121" customFormat="1">
      <c r="A130" s="449"/>
      <c r="B130" s="455" t="s">
        <v>110</v>
      </c>
      <c r="C130" s="193">
        <f t="shared" si="4"/>
        <v>18567.196090593381</v>
      </c>
      <c r="D130" s="181">
        <v>167.79548049395098</v>
      </c>
      <c r="E130" s="181">
        <v>1636.9092645399999</v>
      </c>
      <c r="F130" s="194">
        <f t="shared" si="5"/>
        <v>7154.1401599351839</v>
      </c>
      <c r="G130" s="181">
        <v>709.79029897407042</v>
      </c>
      <c r="H130" s="181">
        <v>6444.3498609611133</v>
      </c>
      <c r="I130" s="181">
        <v>5807.6105869874536</v>
      </c>
      <c r="J130" s="181">
        <v>3350.1554138771421</v>
      </c>
      <c r="K130" s="181">
        <v>450.58518475964996</v>
      </c>
    </row>
    <row r="131" spans="1:11" s="121" customFormat="1">
      <c r="A131" s="449"/>
      <c r="B131" s="455" t="s">
        <v>117</v>
      </c>
      <c r="C131" s="193">
        <f t="shared" si="4"/>
        <v>18437.262946743449</v>
      </c>
      <c r="D131" s="181">
        <v>158.562012236616</v>
      </c>
      <c r="E131" s="181">
        <v>1095.7933871</v>
      </c>
      <c r="F131" s="194">
        <f t="shared" si="5"/>
        <v>7552.7787534851268</v>
      </c>
      <c r="G131" s="181">
        <v>704.3575528170395</v>
      </c>
      <c r="H131" s="181">
        <v>6848.4212006680873</v>
      </c>
      <c r="I131" s="181">
        <v>5832.1101150866634</v>
      </c>
      <c r="J131" s="181">
        <v>3342.8519015120537</v>
      </c>
      <c r="K131" s="181">
        <v>455.16677732299007</v>
      </c>
    </row>
    <row r="132" spans="1:11" s="121" customFormat="1">
      <c r="A132" s="449"/>
      <c r="B132" s="455" t="s">
        <v>112</v>
      </c>
      <c r="C132" s="193">
        <f t="shared" si="4"/>
        <v>18480.431125600247</v>
      </c>
      <c r="D132" s="181">
        <v>173.26356870373226</v>
      </c>
      <c r="E132" s="181">
        <v>1555.02021924</v>
      </c>
      <c r="F132" s="194">
        <f t="shared" si="5"/>
        <v>7111.3045091222975</v>
      </c>
      <c r="G132" s="181">
        <v>705.19914195495119</v>
      </c>
      <c r="H132" s="181">
        <v>6406.1053671673462</v>
      </c>
      <c r="I132" s="181">
        <v>5713.3435732696908</v>
      </c>
      <c r="J132" s="181">
        <v>3432.4258171578599</v>
      </c>
      <c r="K132" s="181">
        <v>495.07343810667015</v>
      </c>
    </row>
    <row r="133" spans="1:11" s="121" customFormat="1">
      <c r="A133" s="449"/>
      <c r="B133" s="455" t="s">
        <v>113</v>
      </c>
      <c r="C133" s="193">
        <f t="shared" si="4"/>
        <v>19213.344900016909</v>
      </c>
      <c r="D133" s="181">
        <v>150.1595182217383</v>
      </c>
      <c r="E133" s="181">
        <v>1844.5920325299996</v>
      </c>
      <c r="F133" s="194">
        <f t="shared" si="5"/>
        <v>7526.3513637730284</v>
      </c>
      <c r="G133" s="181">
        <v>725.57879860126059</v>
      </c>
      <c r="H133" s="181">
        <v>6800.7725651717683</v>
      </c>
      <c r="I133" s="181">
        <v>5833.8165435148003</v>
      </c>
      <c r="J133" s="181">
        <v>3375.845337955383</v>
      </c>
      <c r="K133" s="181">
        <v>482.58010402196044</v>
      </c>
    </row>
    <row r="134" spans="1:11" s="121" customFormat="1">
      <c r="A134" s="449"/>
      <c r="B134" s="455" t="s">
        <v>114</v>
      </c>
      <c r="C134" s="193">
        <f t="shared" si="4"/>
        <v>18469.723329957345</v>
      </c>
      <c r="D134" s="181">
        <v>158.0872319422279</v>
      </c>
      <c r="E134" s="181">
        <v>1388.8377665499997</v>
      </c>
      <c r="F134" s="194">
        <f t="shared" si="5"/>
        <v>7047.3185964376426</v>
      </c>
      <c r="G134" s="181">
        <v>712.20350338278695</v>
      </c>
      <c r="H134" s="181">
        <v>6335.1150930548556</v>
      </c>
      <c r="I134" s="181">
        <v>6015.2419314226609</v>
      </c>
      <c r="J134" s="181">
        <v>3404.5975967945246</v>
      </c>
      <c r="K134" s="181">
        <v>455.64020681028904</v>
      </c>
    </row>
    <row r="135" spans="1:11" s="121" customFormat="1">
      <c r="A135" s="449"/>
      <c r="B135" s="455" t="s">
        <v>115</v>
      </c>
      <c r="C135" s="193">
        <f t="shared" si="4"/>
        <v>18393.823442096676</v>
      </c>
      <c r="D135" s="181">
        <v>163.4730680057439</v>
      </c>
      <c r="E135" s="181">
        <v>1414.35916107</v>
      </c>
      <c r="F135" s="194">
        <f t="shared" si="5"/>
        <v>7062.3691326893804</v>
      </c>
      <c r="G135" s="181">
        <v>720.77244060469377</v>
      </c>
      <c r="H135" s="181">
        <v>6341.5966920846868</v>
      </c>
      <c r="I135" s="181">
        <v>5919.2813538701757</v>
      </c>
      <c r="J135" s="181">
        <v>3395.1350220603244</v>
      </c>
      <c r="K135" s="181">
        <v>439.20570440105024</v>
      </c>
    </row>
    <row r="136" spans="1:11" s="121" customFormat="1">
      <c r="A136" s="451"/>
      <c r="B136" s="456" t="s">
        <v>116</v>
      </c>
      <c r="C136" s="200">
        <f t="shared" si="4"/>
        <v>19361.894222362065</v>
      </c>
      <c r="D136" s="187">
        <v>181.78212452922307</v>
      </c>
      <c r="E136" s="187">
        <v>2519.1641979000001</v>
      </c>
      <c r="F136" s="190">
        <f t="shared" si="5"/>
        <v>6787.4520589663643</v>
      </c>
      <c r="G136" s="187">
        <v>741.85135676154232</v>
      </c>
      <c r="H136" s="187">
        <v>6045.6007022048216</v>
      </c>
      <c r="I136" s="187">
        <v>5951.3138740746854</v>
      </c>
      <c r="J136" s="187">
        <v>3477.1468001213416</v>
      </c>
      <c r="K136" s="187">
        <v>445.03516677044854</v>
      </c>
    </row>
    <row r="137" spans="1:11" s="121" customFormat="1" ht="14.5">
      <c r="A137" s="471">
        <v>2022</v>
      </c>
      <c r="B137" s="454" t="s">
        <v>105</v>
      </c>
      <c r="C137" s="203">
        <f t="shared" si="4"/>
        <v>19152.550549877986</v>
      </c>
      <c r="D137" s="203">
        <v>168.80148724087312</v>
      </c>
      <c r="E137" s="203">
        <v>1179.3021497699997</v>
      </c>
      <c r="F137" s="197">
        <f t="shared" si="5"/>
        <v>7653.1956894820387</v>
      </c>
      <c r="G137" s="203">
        <v>658.96521545267967</v>
      </c>
      <c r="H137" s="203">
        <v>6994.2304740293594</v>
      </c>
      <c r="I137" s="203">
        <v>5997.8390217828264</v>
      </c>
      <c r="J137" s="203">
        <v>3668.3751021327266</v>
      </c>
      <c r="K137" s="203">
        <v>485.03709946952284</v>
      </c>
    </row>
    <row r="138" spans="1:11" s="121" customFormat="1">
      <c r="A138" s="449"/>
      <c r="B138" s="455" t="s">
        <v>106</v>
      </c>
      <c r="C138" s="181">
        <f t="shared" si="4"/>
        <v>18674.831919966004</v>
      </c>
      <c r="D138" s="181">
        <v>157.50153604573632</v>
      </c>
      <c r="E138" s="181">
        <v>1281.0801308299999</v>
      </c>
      <c r="F138" s="194">
        <f t="shared" si="5"/>
        <v>6932.6934467798037</v>
      </c>
      <c r="G138" s="181">
        <v>612.32346415773395</v>
      </c>
      <c r="H138" s="181">
        <v>6320.36998262207</v>
      </c>
      <c r="I138" s="181">
        <v>6018.4985225925984</v>
      </c>
      <c r="J138" s="181">
        <v>3796.9136600586421</v>
      </c>
      <c r="K138" s="181">
        <v>488.14462365922327</v>
      </c>
    </row>
    <row r="139" spans="1:11" s="121" customFormat="1">
      <c r="A139" s="449"/>
      <c r="B139" s="455" t="s">
        <v>107</v>
      </c>
      <c r="C139" s="181">
        <f t="shared" si="4"/>
        <v>19767.178142817182</v>
      </c>
      <c r="D139" s="181">
        <v>174.37623630905151</v>
      </c>
      <c r="E139" s="181">
        <v>2361.9271807</v>
      </c>
      <c r="F139" s="194">
        <f t="shared" si="5"/>
        <v>6864.9766138747036</v>
      </c>
      <c r="G139" s="181">
        <v>618.73672505670561</v>
      </c>
      <c r="H139" s="181">
        <v>6246.2398888179978</v>
      </c>
      <c r="I139" s="181">
        <v>6058.4520917577838</v>
      </c>
      <c r="J139" s="181">
        <v>3854.570936243917</v>
      </c>
      <c r="K139" s="181">
        <v>452.87508393172817</v>
      </c>
    </row>
    <row r="140" spans="1:11" s="121" customFormat="1">
      <c r="A140" s="449"/>
      <c r="B140" s="455" t="s">
        <v>108</v>
      </c>
      <c r="C140" s="181">
        <f t="shared" si="4"/>
        <v>19038.795637342504</v>
      </c>
      <c r="D140" s="181">
        <v>158.664632934351</v>
      </c>
      <c r="E140" s="181">
        <v>1281.5635740280295</v>
      </c>
      <c r="F140" s="194">
        <f t="shared" si="5"/>
        <v>7608.5153874134558</v>
      </c>
      <c r="G140" s="181">
        <v>619.07455824959425</v>
      </c>
      <c r="H140" s="181">
        <v>6989.4408291638611</v>
      </c>
      <c r="I140" s="181">
        <v>5738.3444157830563</v>
      </c>
      <c r="J140" s="181">
        <v>3750.3843125411727</v>
      </c>
      <c r="K140" s="181">
        <v>501.32331464243993</v>
      </c>
    </row>
    <row r="141" spans="1:11" s="121" customFormat="1">
      <c r="A141" s="449"/>
      <c r="B141" s="455" t="s">
        <v>109</v>
      </c>
      <c r="C141" s="181">
        <f t="shared" si="4"/>
        <v>19186.379762813587</v>
      </c>
      <c r="D141" s="181">
        <v>166.3377438409849</v>
      </c>
      <c r="E141" s="181">
        <v>1187.1380042700002</v>
      </c>
      <c r="F141" s="194">
        <f t="shared" si="5"/>
        <v>7347.7096770013404</v>
      </c>
      <c r="G141" s="181">
        <v>615.87585344639979</v>
      </c>
      <c r="H141" s="181">
        <v>6731.8338235549409</v>
      </c>
      <c r="I141" s="181">
        <v>6201.6668546031515</v>
      </c>
      <c r="J141" s="181">
        <v>3743.2671843622265</v>
      </c>
      <c r="K141" s="181">
        <v>540.26029873588539</v>
      </c>
    </row>
    <row r="142" spans="1:11" s="121" customFormat="1">
      <c r="A142" s="449"/>
      <c r="B142" s="455" t="s">
        <v>110</v>
      </c>
      <c r="C142" s="181">
        <f t="shared" si="4"/>
        <v>20267.4058924534</v>
      </c>
      <c r="D142" s="181">
        <v>159.59884988140107</v>
      </c>
      <c r="E142" s="181">
        <v>2641.94375777</v>
      </c>
      <c r="F142" s="194">
        <f t="shared" si="5"/>
        <v>6972.5561815863402</v>
      </c>
      <c r="G142" s="181">
        <v>617.93401846707138</v>
      </c>
      <c r="H142" s="181">
        <v>6354.6221631192684</v>
      </c>
      <c r="I142" s="181">
        <v>6140.3962744071387</v>
      </c>
      <c r="J142" s="181">
        <v>3781.3412290799729</v>
      </c>
      <c r="K142" s="181">
        <v>571.56959972854759</v>
      </c>
    </row>
    <row r="143" spans="1:11" s="121" customFormat="1">
      <c r="A143" s="449"/>
      <c r="B143" s="455" t="s">
        <v>117</v>
      </c>
      <c r="C143" s="181">
        <f t="shared" si="4"/>
        <v>20042.35961096234</v>
      </c>
      <c r="D143" s="181">
        <v>153.62219298092251</v>
      </c>
      <c r="E143" s="181">
        <v>1147.4602471199998</v>
      </c>
      <c r="F143" s="194">
        <f t="shared" si="5"/>
        <v>7846.5689932993573</v>
      </c>
      <c r="G143" s="181">
        <v>634.29292599490282</v>
      </c>
      <c r="H143" s="181">
        <v>7212.276067304454</v>
      </c>
      <c r="I143" s="181">
        <v>6240.5826300189938</v>
      </c>
      <c r="J143" s="181">
        <v>4055.6616867390694</v>
      </c>
      <c r="K143" s="181">
        <v>598.46386080399532</v>
      </c>
    </row>
    <row r="144" spans="1:11" s="121" customFormat="1">
      <c r="A144" s="449"/>
      <c r="B144" s="455" t="s">
        <v>112</v>
      </c>
      <c r="C144" s="181">
        <f t="shared" si="4"/>
        <v>19360.532887423251</v>
      </c>
      <c r="D144" s="181">
        <v>165.54505814820101</v>
      </c>
      <c r="E144" s="181">
        <v>1227.9886286800001</v>
      </c>
      <c r="F144" s="194">
        <f t="shared" si="5"/>
        <v>7072.3663406341675</v>
      </c>
      <c r="G144" s="181">
        <v>656.26539268984357</v>
      </c>
      <c r="H144" s="181">
        <v>6416.1009479443237</v>
      </c>
      <c r="I144" s="181">
        <v>6276.9744909901619</v>
      </c>
      <c r="J144" s="181">
        <v>4076.2218566987203</v>
      </c>
      <c r="K144" s="181">
        <v>541.4365122719995</v>
      </c>
    </row>
    <row r="145" spans="1:11" s="121" customFormat="1">
      <c r="A145" s="449"/>
      <c r="B145" s="455" t="s">
        <v>113</v>
      </c>
      <c r="C145" s="181">
        <f t="shared" si="4"/>
        <v>20817.777692234995</v>
      </c>
      <c r="D145" s="181">
        <v>143.19575895313761</v>
      </c>
      <c r="E145" s="181">
        <v>2628.1371975661386</v>
      </c>
      <c r="F145" s="194">
        <f t="shared" si="5"/>
        <v>6969.1272676330454</v>
      </c>
      <c r="G145" s="181">
        <v>644.67706023618393</v>
      </c>
      <c r="H145" s="181">
        <v>6324.4502073968615</v>
      </c>
      <c r="I145" s="181">
        <v>6338.5426744256056</v>
      </c>
      <c r="J145" s="181">
        <v>4082.4914163342455</v>
      </c>
      <c r="K145" s="181">
        <v>656.28337732282193</v>
      </c>
    </row>
    <row r="146" spans="1:11" s="121" customFormat="1">
      <c r="A146" s="449"/>
      <c r="B146" s="455" t="s">
        <v>114</v>
      </c>
      <c r="C146" s="181">
        <f t="shared" si="4"/>
        <v>19950.629488250099</v>
      </c>
      <c r="D146" s="181">
        <v>149.30479573965161</v>
      </c>
      <c r="E146" s="181">
        <v>1203.3013578999999</v>
      </c>
      <c r="F146" s="194">
        <f t="shared" si="5"/>
        <v>7578.9265508565941</v>
      </c>
      <c r="G146" s="181">
        <v>597.28506062841905</v>
      </c>
      <c r="H146" s="181">
        <v>6981.6414902281749</v>
      </c>
      <c r="I146" s="181">
        <v>6261.4275578276047</v>
      </c>
      <c r="J146" s="181">
        <v>4153.2182678512445</v>
      </c>
      <c r="K146" s="181">
        <v>604.45095807500559</v>
      </c>
    </row>
    <row r="147" spans="1:11" s="121" customFormat="1">
      <c r="A147" s="449"/>
      <c r="B147" s="455" t="s">
        <v>115</v>
      </c>
      <c r="C147" s="181">
        <f t="shared" si="4"/>
        <v>19335.324762786204</v>
      </c>
      <c r="D147" s="181">
        <v>145.7207430310045</v>
      </c>
      <c r="E147" s="181">
        <v>1250.4798652699997</v>
      </c>
      <c r="F147" s="194">
        <f t="shared" si="5"/>
        <v>6988.0330642908502</v>
      </c>
      <c r="G147" s="181">
        <v>560.88214718880249</v>
      </c>
      <c r="H147" s="181">
        <v>6427.150917102048</v>
      </c>
      <c r="I147" s="181">
        <v>6104.0377977963863</v>
      </c>
      <c r="J147" s="181">
        <v>4193.2531033403957</v>
      </c>
      <c r="K147" s="181">
        <v>653.80018905756413</v>
      </c>
    </row>
    <row r="148" spans="1:11" s="121" customFormat="1">
      <c r="A148" s="451"/>
      <c r="B148" s="456" t="s">
        <v>116</v>
      </c>
      <c r="C148" s="187">
        <f t="shared" si="4"/>
        <v>20681.291078598257</v>
      </c>
      <c r="D148" s="187">
        <v>173.0720622269954</v>
      </c>
      <c r="E148" s="187">
        <v>2589.7476195107142</v>
      </c>
      <c r="F148" s="190">
        <f t="shared" si="5"/>
        <v>6790.0224862768537</v>
      </c>
      <c r="G148" s="187">
        <v>541.81983454186445</v>
      </c>
      <c r="H148" s="187">
        <v>6248.2026517349896</v>
      </c>
      <c r="I148" s="187">
        <v>6266.235947806701</v>
      </c>
      <c r="J148" s="187">
        <v>4059.170504091484</v>
      </c>
      <c r="K148" s="187">
        <v>803.04245868550629</v>
      </c>
    </row>
    <row r="149" spans="1:11" s="121" customFormat="1" ht="14.5">
      <c r="A149" s="471">
        <v>2023</v>
      </c>
      <c r="B149" s="454" t="s">
        <v>105</v>
      </c>
      <c r="C149" s="203">
        <f t="shared" si="4"/>
        <v>20015.793300443089</v>
      </c>
      <c r="D149" s="203">
        <v>171.36613344579382</v>
      </c>
      <c r="E149" s="203">
        <v>1321.6257986200001</v>
      </c>
      <c r="F149" s="197">
        <f t="shared" si="5"/>
        <v>7839.4974738895089</v>
      </c>
      <c r="G149" s="203">
        <v>522.93264269748965</v>
      </c>
      <c r="H149" s="203">
        <v>7316.5648311920195</v>
      </c>
      <c r="I149" s="203">
        <v>6186.2331219062362</v>
      </c>
      <c r="J149" s="203">
        <v>3744.8693654574645</v>
      </c>
      <c r="K149" s="203">
        <v>752.20140712408534</v>
      </c>
    </row>
    <row r="150" spans="1:11" s="121" customFormat="1">
      <c r="A150" s="449"/>
      <c r="B150" s="455" t="s">
        <v>106</v>
      </c>
      <c r="C150" s="181">
        <f t="shared" si="4"/>
        <v>19828.93433330351</v>
      </c>
      <c r="D150" s="181">
        <v>153.9575554301081</v>
      </c>
      <c r="E150" s="181">
        <v>1252.58507837</v>
      </c>
      <c r="F150" s="194">
        <f t="shared" si="5"/>
        <v>7518.1626758386828</v>
      </c>
      <c r="G150" s="181">
        <v>516.55392092071156</v>
      </c>
      <c r="H150" s="181">
        <v>7001.6087549179711</v>
      </c>
      <c r="I150" s="181">
        <v>6182.0473699016447</v>
      </c>
      <c r="J150" s="181">
        <v>3924.945189611014</v>
      </c>
      <c r="K150" s="181">
        <v>797.23646415205974</v>
      </c>
    </row>
    <row r="151" spans="1:11" s="121" customFormat="1">
      <c r="A151" s="449"/>
      <c r="B151" s="455" t="s">
        <v>107</v>
      </c>
      <c r="C151" s="181">
        <f t="shared" si="4"/>
        <v>20013.292257396544</v>
      </c>
      <c r="D151" s="181">
        <v>159.4088743171005</v>
      </c>
      <c r="E151" s="181">
        <v>1548.9343264936144</v>
      </c>
      <c r="F151" s="194">
        <f t="shared" si="5"/>
        <v>7435.8001193237114</v>
      </c>
      <c r="G151" s="181">
        <v>514.80785223799012</v>
      </c>
      <c r="H151" s="181">
        <v>6920.9922670857213</v>
      </c>
      <c r="I151" s="181">
        <v>6204.189487997508</v>
      </c>
      <c r="J151" s="181">
        <v>3954.8837671077563</v>
      </c>
      <c r="K151" s="181">
        <v>710.07568215685455</v>
      </c>
    </row>
    <row r="152" spans="1:11" s="121" customFormat="1">
      <c r="A152" s="449"/>
      <c r="B152" s="455" t="s">
        <v>108</v>
      </c>
      <c r="C152" s="181">
        <f t="shared" si="4"/>
        <v>19287.353458159327</v>
      </c>
      <c r="D152" s="181">
        <v>184.7653626158845</v>
      </c>
      <c r="E152" s="181">
        <v>1212.0275790899998</v>
      </c>
      <c r="F152" s="194">
        <f t="shared" si="5"/>
        <v>7106.682850974712</v>
      </c>
      <c r="G152" s="181">
        <v>512.08144000470838</v>
      </c>
      <c r="H152" s="181">
        <v>6594.6014109700036</v>
      </c>
      <c r="I152" s="181">
        <v>6362.5467177037153</v>
      </c>
      <c r="J152" s="181">
        <v>3913.9920742335175</v>
      </c>
      <c r="K152" s="181">
        <v>507.33887354150062</v>
      </c>
    </row>
    <row r="153" spans="1:11" s="121" customFormat="1">
      <c r="A153" s="449"/>
      <c r="B153" s="455" t="s">
        <v>109</v>
      </c>
      <c r="C153" s="181">
        <f>D153+E153+F153+I153+J153+K153</f>
        <v>19275.725292005121</v>
      </c>
      <c r="D153" s="181">
        <v>149.2357658320079</v>
      </c>
      <c r="E153" s="181">
        <v>1215.26141454</v>
      </c>
      <c r="F153" s="194">
        <f>G153+H153</f>
        <v>6807.9464082955537</v>
      </c>
      <c r="G153" s="181">
        <v>552.28949573976081</v>
      </c>
      <c r="H153" s="181">
        <v>6255.6569125557926</v>
      </c>
      <c r="I153" s="181">
        <v>6404.9170404401839</v>
      </c>
      <c r="J153" s="181">
        <v>4097.5892963592487</v>
      </c>
      <c r="K153" s="181">
        <v>600.77536653812763</v>
      </c>
    </row>
    <row r="154" spans="1:11" s="121" customFormat="1">
      <c r="A154" s="449"/>
      <c r="B154" s="455" t="s">
        <v>110</v>
      </c>
      <c r="C154" s="181">
        <f>D154+E154+F154+I154+J154+K154</f>
        <v>19859.062660123796</v>
      </c>
      <c r="D154" s="181">
        <v>149.37782539606658</v>
      </c>
      <c r="E154" s="181">
        <v>1572.6146954299998</v>
      </c>
      <c r="F154" s="194">
        <f>G154+H154</f>
        <v>6934.3477293810192</v>
      </c>
      <c r="G154" s="181">
        <v>586.43077979968996</v>
      </c>
      <c r="H154" s="181">
        <v>6347.9169495813294</v>
      </c>
      <c r="I154" s="181">
        <v>6533.468316840208</v>
      </c>
      <c r="J154" s="181">
        <v>3907.549405489629</v>
      </c>
      <c r="K154" s="181">
        <v>761.70468758687446</v>
      </c>
    </row>
    <row r="155" spans="1:11" s="121" customFormat="1">
      <c r="A155" s="449"/>
      <c r="B155" s="455" t="s">
        <v>117</v>
      </c>
      <c r="C155" s="181">
        <f t="shared" ref="C155:C178" si="6">D155+E155+F155+I155+J155+K155</f>
        <v>19416.85469687506</v>
      </c>
      <c r="D155" s="181">
        <v>162.55924909450749</v>
      </c>
      <c r="E155" s="181">
        <v>1149.4131599499999</v>
      </c>
      <c r="F155" s="194">
        <f t="shared" ref="F155:F178" si="7">G155+H155</f>
        <v>7048.1812577094897</v>
      </c>
      <c r="G155" s="181">
        <v>678.20923205314261</v>
      </c>
      <c r="H155" s="181">
        <v>6369.9720256563469</v>
      </c>
      <c r="I155" s="181">
        <v>6496.8888945586477</v>
      </c>
      <c r="J155" s="181">
        <v>3908.1964545274336</v>
      </c>
      <c r="K155" s="181">
        <v>651.61568103498371</v>
      </c>
    </row>
    <row r="156" spans="1:11" s="121" customFormat="1">
      <c r="A156" s="449"/>
      <c r="B156" s="455" t="s">
        <v>112</v>
      </c>
      <c r="C156" s="181">
        <f t="shared" si="6"/>
        <v>19217.887772226481</v>
      </c>
      <c r="D156" s="181">
        <v>170.63368190014401</v>
      </c>
      <c r="E156" s="181">
        <v>1136.91770946</v>
      </c>
      <c r="F156" s="194">
        <f t="shared" si="7"/>
        <v>6654.9424272869019</v>
      </c>
      <c r="G156" s="181">
        <v>728.06669350570962</v>
      </c>
      <c r="H156" s="181">
        <v>5926.8757337811921</v>
      </c>
      <c r="I156" s="181">
        <v>6732.700219700253</v>
      </c>
      <c r="J156" s="181">
        <v>3895.98945141984</v>
      </c>
      <c r="K156" s="181">
        <v>626.70428245934113</v>
      </c>
    </row>
    <row r="157" spans="1:11" s="121" customFormat="1">
      <c r="A157" s="449"/>
      <c r="B157" s="455" t="s">
        <v>113</v>
      </c>
      <c r="C157" s="181">
        <f t="shared" si="6"/>
        <v>19427.821642966232</v>
      </c>
      <c r="D157" s="181">
        <v>143.82107777834889</v>
      </c>
      <c r="E157" s="181">
        <v>1266.4272922508521</v>
      </c>
      <c r="F157" s="194">
        <f t="shared" si="7"/>
        <v>6675.6514576880099</v>
      </c>
      <c r="G157" s="181">
        <v>723.94404800622601</v>
      </c>
      <c r="H157" s="181">
        <v>5951.7074096817842</v>
      </c>
      <c r="I157" s="181">
        <v>6758.391371102608</v>
      </c>
      <c r="J157" s="181">
        <v>3934.9810436973571</v>
      </c>
      <c r="K157" s="181">
        <v>648.54940044905572</v>
      </c>
    </row>
    <row r="158" spans="1:11" s="121" customFormat="1">
      <c r="A158" s="449"/>
      <c r="B158" s="455" t="s">
        <v>114</v>
      </c>
      <c r="C158" s="181">
        <f t="shared" si="6"/>
        <v>19303.629804837223</v>
      </c>
      <c r="D158" s="181">
        <v>168.38379656899781</v>
      </c>
      <c r="E158" s="181">
        <v>1095.1801576100002</v>
      </c>
      <c r="F158" s="194">
        <f t="shared" si="7"/>
        <v>6659.2692690840158</v>
      </c>
      <c r="G158" s="181">
        <v>714.28730101603139</v>
      </c>
      <c r="H158" s="181">
        <v>5944.9819680679848</v>
      </c>
      <c r="I158" s="181">
        <v>6705.3789758123758</v>
      </c>
      <c r="J158" s="181">
        <v>3944.0399079564663</v>
      </c>
      <c r="K158" s="181">
        <v>731.3776978053686</v>
      </c>
    </row>
    <row r="159" spans="1:11" s="121" customFormat="1">
      <c r="A159" s="449"/>
      <c r="B159" s="455" t="s">
        <v>115</v>
      </c>
      <c r="C159" s="181">
        <f t="shared" si="6"/>
        <v>19283.949172072142</v>
      </c>
      <c r="D159" s="181">
        <v>152.6657497633264</v>
      </c>
      <c r="E159" s="181">
        <v>1106.8573175399999</v>
      </c>
      <c r="F159" s="194">
        <f t="shared" si="7"/>
        <v>6342.5568908126561</v>
      </c>
      <c r="G159" s="181">
        <v>818.37803804663417</v>
      </c>
      <c r="H159" s="181">
        <v>5524.1788527660219</v>
      </c>
      <c r="I159" s="181">
        <v>6879.833689494496</v>
      </c>
      <c r="J159" s="181">
        <v>4012.8447299911345</v>
      </c>
      <c r="K159" s="181">
        <v>789.1907944705282</v>
      </c>
    </row>
    <row r="160" spans="1:11" s="121" customFormat="1">
      <c r="A160" s="451"/>
      <c r="B160" s="456" t="s">
        <v>116</v>
      </c>
      <c r="C160" s="187">
        <f t="shared" si="6"/>
        <v>19811.265941179663</v>
      </c>
      <c r="D160" s="187">
        <v>161.09196121535186</v>
      </c>
      <c r="E160" s="187">
        <v>1534.8916382140364</v>
      </c>
      <c r="F160" s="190">
        <f t="shared" si="7"/>
        <v>6527.63905539198</v>
      </c>
      <c r="G160" s="187">
        <v>872.82986650166072</v>
      </c>
      <c r="H160" s="187">
        <v>5654.8091888903191</v>
      </c>
      <c r="I160" s="187">
        <v>7001.2142986754734</v>
      </c>
      <c r="J160" s="187">
        <v>3918.8491664576513</v>
      </c>
      <c r="K160" s="187">
        <v>667.57982122516796</v>
      </c>
    </row>
    <row r="161" spans="1:11" s="121" customFormat="1" ht="14.5">
      <c r="A161" s="471">
        <v>2024</v>
      </c>
      <c r="B161" s="454" t="s">
        <v>105</v>
      </c>
      <c r="C161" s="203">
        <f t="shared" si="6"/>
        <v>19881.190450290436</v>
      </c>
      <c r="D161" s="203">
        <v>160.23290407471649</v>
      </c>
      <c r="E161" s="203">
        <v>1143.86836146</v>
      </c>
      <c r="F161" s="197">
        <f t="shared" si="7"/>
        <v>6574.8496636092068</v>
      </c>
      <c r="G161" s="203">
        <v>878.0731712805881</v>
      </c>
      <c r="H161" s="203">
        <v>5696.7764923286186</v>
      </c>
      <c r="I161" s="203">
        <v>7156.6441775903659</v>
      </c>
      <c r="J161" s="203">
        <v>4042.4547791545947</v>
      </c>
      <c r="K161" s="203">
        <v>803.14056440155059</v>
      </c>
    </row>
    <row r="162" spans="1:11" s="121" customFormat="1">
      <c r="A162" s="449"/>
      <c r="B162" s="455" t="s">
        <v>106</v>
      </c>
      <c r="C162" s="181">
        <f t="shared" si="6"/>
        <v>19658.947189320748</v>
      </c>
      <c r="D162" s="181">
        <v>155.52301196549558</v>
      </c>
      <c r="E162" s="181">
        <v>1154.8418761899998</v>
      </c>
      <c r="F162" s="194">
        <f t="shared" si="7"/>
        <v>6215.5395925567</v>
      </c>
      <c r="G162" s="181">
        <v>877.5857384044715</v>
      </c>
      <c r="H162" s="181">
        <v>5337.9538541522288</v>
      </c>
      <c r="I162" s="181">
        <v>7101.6045418777594</v>
      </c>
      <c r="J162" s="181">
        <v>4157.7679320942407</v>
      </c>
      <c r="K162" s="181">
        <v>873.67023463655448</v>
      </c>
    </row>
    <row r="163" spans="1:11" s="121" customFormat="1">
      <c r="A163" s="449"/>
      <c r="B163" s="455" t="s">
        <v>107</v>
      </c>
      <c r="C163" s="181">
        <f t="shared" si="6"/>
        <v>20440.378158065741</v>
      </c>
      <c r="D163" s="181">
        <v>150.813884567375</v>
      </c>
      <c r="E163" s="181">
        <v>1463.5630535999999</v>
      </c>
      <c r="F163" s="194">
        <f t="shared" si="7"/>
        <v>6697.3733368774938</v>
      </c>
      <c r="G163" s="181">
        <v>871.31912408655944</v>
      </c>
      <c r="H163" s="181">
        <v>5826.0542127909348</v>
      </c>
      <c r="I163" s="181">
        <v>7098.4601147364165</v>
      </c>
      <c r="J163" s="181">
        <v>4126.7077464352724</v>
      </c>
      <c r="K163" s="181">
        <v>903.46002184918302</v>
      </c>
    </row>
    <row r="164" spans="1:11" s="121" customFormat="1">
      <c r="A164" s="449"/>
      <c r="B164" s="455" t="s">
        <v>108</v>
      </c>
      <c r="C164" s="181">
        <f t="shared" si="6"/>
        <v>19948.961486587275</v>
      </c>
      <c r="D164" s="181">
        <v>154.66747106319499</v>
      </c>
      <c r="E164" s="181">
        <v>1156.1298183200001</v>
      </c>
      <c r="F164" s="194">
        <f t="shared" si="7"/>
        <v>6567.9257136652441</v>
      </c>
      <c r="G164" s="181">
        <v>877.52113407355125</v>
      </c>
      <c r="H164" s="181">
        <v>5690.4045795916927</v>
      </c>
      <c r="I164" s="181">
        <v>7288.2289160660139</v>
      </c>
      <c r="J164" s="181">
        <v>4122.6395452334782</v>
      </c>
      <c r="K164" s="181">
        <v>659.37002223934167</v>
      </c>
    </row>
    <row r="165" spans="1:11" s="121" customFormat="1">
      <c r="A165" s="449"/>
      <c r="B165" s="455" t="s">
        <v>109</v>
      </c>
      <c r="C165" s="181">
        <f t="shared" si="6"/>
        <v>19787.662404007489</v>
      </c>
      <c r="D165" s="181">
        <v>148.44658561019989</v>
      </c>
      <c r="E165" s="181">
        <v>1116.9262409200001</v>
      </c>
      <c r="F165" s="194">
        <f t="shared" si="7"/>
        <v>6322.0259884038151</v>
      </c>
      <c r="G165" s="181">
        <v>890.95112633821418</v>
      </c>
      <c r="H165" s="181">
        <v>5431.0748620656013</v>
      </c>
      <c r="I165" s="181">
        <v>7187.9757976009832</v>
      </c>
      <c r="J165" s="181">
        <v>4191.3269150268497</v>
      </c>
      <c r="K165" s="181">
        <v>820.96087644564238</v>
      </c>
    </row>
    <row r="166" spans="1:11" s="121" customFormat="1">
      <c r="A166" s="449"/>
      <c r="B166" s="455" t="s">
        <v>110</v>
      </c>
      <c r="C166" s="181">
        <f t="shared" si="6"/>
        <v>20178.611807870151</v>
      </c>
      <c r="D166" s="181">
        <v>132.27645153745502</v>
      </c>
      <c r="E166" s="181">
        <v>1148.94606987</v>
      </c>
      <c r="F166" s="194">
        <f t="shared" si="7"/>
        <v>6468.1559549706653</v>
      </c>
      <c r="G166" s="181">
        <v>884.24682917210725</v>
      </c>
      <c r="H166" s="181">
        <v>5583.9091257985583</v>
      </c>
      <c r="I166" s="181">
        <v>7352.4685872030459</v>
      </c>
      <c r="J166" s="181">
        <v>4133.3406717607322</v>
      </c>
      <c r="K166" s="181">
        <v>943.42407252825456</v>
      </c>
    </row>
    <row r="167" spans="1:11" s="121" customFormat="1">
      <c r="A167" s="449"/>
      <c r="B167" s="455" t="s">
        <v>117</v>
      </c>
      <c r="C167" s="181">
        <f t="shared" si="6"/>
        <v>19839.323088308323</v>
      </c>
      <c r="D167" s="181">
        <v>155.97552808915998</v>
      </c>
      <c r="E167" s="181">
        <v>1025.1516047500002</v>
      </c>
      <c r="F167" s="194">
        <f t="shared" si="7"/>
        <v>6158.9057580978069</v>
      </c>
      <c r="G167" s="181">
        <v>910.73619499742813</v>
      </c>
      <c r="H167" s="181">
        <v>5248.1695631003786</v>
      </c>
      <c r="I167" s="181">
        <v>7352.2770972452099</v>
      </c>
      <c r="J167" s="181">
        <v>4348.0256500810719</v>
      </c>
      <c r="K167" s="181">
        <v>798.9874500450743</v>
      </c>
    </row>
    <row r="168" spans="1:11" s="121" customFormat="1">
      <c r="A168" s="449"/>
      <c r="B168" s="455" t="s">
        <v>112</v>
      </c>
      <c r="C168" s="181">
        <f t="shared" si="6"/>
        <v>19509.068891189396</v>
      </c>
      <c r="D168" s="181">
        <v>152.15632492487993</v>
      </c>
      <c r="E168" s="181">
        <v>1040.5359820499998</v>
      </c>
      <c r="F168" s="194">
        <f t="shared" si="7"/>
        <v>6075.2642749593379</v>
      </c>
      <c r="G168" s="181">
        <v>885.56816833234939</v>
      </c>
      <c r="H168" s="181">
        <v>5189.6961066269887</v>
      </c>
      <c r="I168" s="181">
        <v>7241.4404444965294</v>
      </c>
      <c r="J168" s="181">
        <v>4181.955901541779</v>
      </c>
      <c r="K168" s="181">
        <v>817.71596321686923</v>
      </c>
    </row>
    <row r="169" spans="1:11" s="121" customFormat="1">
      <c r="A169" s="449"/>
      <c r="B169" s="455" t="s">
        <v>113</v>
      </c>
      <c r="C169" s="181">
        <f t="shared" si="6"/>
        <v>20044.049943463808</v>
      </c>
      <c r="D169" s="181">
        <v>151.82550838136001</v>
      </c>
      <c r="E169" s="181">
        <v>1076.4359930699998</v>
      </c>
      <c r="F169" s="194">
        <f t="shared" si="7"/>
        <v>6399.3840327181242</v>
      </c>
      <c r="G169" s="181">
        <v>981.21833558273227</v>
      </c>
      <c r="H169" s="181">
        <v>5418.1656971353923</v>
      </c>
      <c r="I169" s="181">
        <v>7336.3271937555373</v>
      </c>
      <c r="J169" s="181">
        <v>4203.7658794562221</v>
      </c>
      <c r="K169" s="181">
        <v>876.31133608256152</v>
      </c>
    </row>
    <row r="170" spans="1:11" s="121" customFormat="1">
      <c r="A170" s="449"/>
      <c r="B170" s="455" t="s">
        <v>114</v>
      </c>
      <c r="C170" s="181">
        <f t="shared" si="6"/>
        <v>20130.137457382796</v>
      </c>
      <c r="D170" s="181">
        <v>152.98571093566989</v>
      </c>
      <c r="E170" s="181">
        <v>1037.4351358399999</v>
      </c>
      <c r="F170" s="194">
        <f t="shared" si="7"/>
        <v>6490.8114282555152</v>
      </c>
      <c r="G170" s="181">
        <v>969.66956205631982</v>
      </c>
      <c r="H170" s="181">
        <v>5521.1418661991956</v>
      </c>
      <c r="I170" s="181">
        <v>7355.4914777832009</v>
      </c>
      <c r="J170" s="181">
        <v>4216.4123753123804</v>
      </c>
      <c r="K170" s="181">
        <v>877.00132925602736</v>
      </c>
    </row>
    <row r="171" spans="1:11" s="121" customFormat="1">
      <c r="A171" s="449"/>
      <c r="B171" s="455" t="s">
        <v>115</v>
      </c>
      <c r="C171" s="181">
        <f t="shared" si="6"/>
        <v>19762.659947462485</v>
      </c>
      <c r="D171" s="181">
        <v>143.67248901998011</v>
      </c>
      <c r="E171" s="181">
        <v>1041.9787370700001</v>
      </c>
      <c r="F171" s="194">
        <f t="shared" si="7"/>
        <v>6367.0587234355053</v>
      </c>
      <c r="G171" s="181">
        <v>965.94621666319551</v>
      </c>
      <c r="H171" s="181">
        <v>5401.1125067723096</v>
      </c>
      <c r="I171" s="181">
        <v>7275.2221749398177</v>
      </c>
      <c r="J171" s="181">
        <v>4132.8577018893511</v>
      </c>
      <c r="K171" s="181">
        <v>801.87012110782939</v>
      </c>
    </row>
    <row r="172" spans="1:11" s="121" customFormat="1">
      <c r="A172" s="451"/>
      <c r="B172" s="456" t="s">
        <v>116</v>
      </c>
      <c r="C172" s="187">
        <f t="shared" si="6"/>
        <v>20874.182723876726</v>
      </c>
      <c r="D172" s="187">
        <v>173.225798079155</v>
      </c>
      <c r="E172" s="187">
        <v>1104.0639317900002</v>
      </c>
      <c r="F172" s="190">
        <f t="shared" si="7"/>
        <v>6935.2448356351806</v>
      </c>
      <c r="G172" s="187">
        <v>1016.8268504192334</v>
      </c>
      <c r="H172" s="187">
        <v>5918.4179852159468</v>
      </c>
      <c r="I172" s="187">
        <v>7561.0888416433763</v>
      </c>
      <c r="J172" s="187">
        <v>4227.1667015014827</v>
      </c>
      <c r="K172" s="187">
        <v>873.39261522752929</v>
      </c>
    </row>
    <row r="173" spans="1:11" s="121" customFormat="1" ht="14.5">
      <c r="A173" s="471">
        <v>2025</v>
      </c>
      <c r="B173" s="454" t="s">
        <v>105</v>
      </c>
      <c r="C173" s="203">
        <f t="shared" si="6"/>
        <v>20140.944083589584</v>
      </c>
      <c r="D173" s="203">
        <v>186.13668716678504</v>
      </c>
      <c r="E173" s="203">
        <v>1073.11825767</v>
      </c>
      <c r="F173" s="197">
        <f t="shared" si="7"/>
        <v>6255.4662966078777</v>
      </c>
      <c r="G173" s="203">
        <v>987.59529005854267</v>
      </c>
      <c r="H173" s="203">
        <v>5267.8710065493351</v>
      </c>
      <c r="I173" s="203">
        <v>7603.8451640176318</v>
      </c>
      <c r="J173" s="203">
        <v>4220.4150322997793</v>
      </c>
      <c r="K173" s="203">
        <v>801.96264582751303</v>
      </c>
    </row>
    <row r="174" spans="1:11" s="121" customFormat="1">
      <c r="A174" s="449"/>
      <c r="B174" s="455" t="s">
        <v>106</v>
      </c>
      <c r="C174" s="181">
        <f t="shared" si="6"/>
        <v>20494.961677041782</v>
      </c>
      <c r="D174" s="181">
        <v>155.89843489096461</v>
      </c>
      <c r="E174" s="181">
        <v>1004.95587775</v>
      </c>
      <c r="F174" s="194">
        <f t="shared" si="7"/>
        <v>6717.7092698766364</v>
      </c>
      <c r="G174" s="181">
        <v>978.73080076805911</v>
      </c>
      <c r="H174" s="181">
        <v>5738.978469108577</v>
      </c>
      <c r="I174" s="181">
        <v>7611.7902848274089</v>
      </c>
      <c r="J174" s="181">
        <v>4120.3587747760412</v>
      </c>
      <c r="K174" s="181">
        <v>884.24903492073327</v>
      </c>
    </row>
    <row r="175" spans="1:11" s="121" customFormat="1">
      <c r="A175" s="449"/>
      <c r="B175" s="455" t="s">
        <v>107</v>
      </c>
      <c r="C175" s="181">
        <f t="shared" si="6"/>
        <v>20819.683481188782</v>
      </c>
      <c r="D175" s="181">
        <v>147.2231924333901</v>
      </c>
      <c r="E175" s="181">
        <v>1652.2934249399998</v>
      </c>
      <c r="F175" s="194">
        <f t="shared" si="7"/>
        <v>6272.2721177773228</v>
      </c>
      <c r="G175" s="181">
        <v>944.73497812220955</v>
      </c>
      <c r="H175" s="181">
        <v>5327.5371396551136</v>
      </c>
      <c r="I175" s="181">
        <v>7719.6516477063278</v>
      </c>
      <c r="J175" s="181">
        <v>4169.4599371551094</v>
      </c>
      <c r="K175" s="181">
        <v>858.78316117663439</v>
      </c>
    </row>
    <row r="176" spans="1:11" s="121" customFormat="1">
      <c r="A176" s="449"/>
      <c r="B176" s="455" t="s">
        <v>108</v>
      </c>
      <c r="C176" s="181">
        <f t="shared" si="6"/>
        <v>20472.938382900942</v>
      </c>
      <c r="D176" s="181">
        <v>159.02633269757973</v>
      </c>
      <c r="E176" s="181">
        <v>919.05698800999994</v>
      </c>
      <c r="F176" s="194">
        <f t="shared" si="7"/>
        <v>6422.5226927125059</v>
      </c>
      <c r="G176" s="181">
        <v>940.15213402868153</v>
      </c>
      <c r="H176" s="181">
        <v>5482.3705586838241</v>
      </c>
      <c r="I176" s="181">
        <v>7781.3705614651635</v>
      </c>
      <c r="J176" s="181">
        <v>4463.60892904305</v>
      </c>
      <c r="K176" s="181">
        <v>727.35287897264527</v>
      </c>
    </row>
    <row r="177" spans="1:11" s="121" customFormat="1">
      <c r="A177" s="449"/>
      <c r="B177" s="455" t="s">
        <v>109</v>
      </c>
      <c r="C177" s="181">
        <f t="shared" si="6"/>
        <v>20080.79265804547</v>
      </c>
      <c r="D177" s="181">
        <v>146.02994310264992</v>
      </c>
      <c r="E177" s="181">
        <v>912.54778998999984</v>
      </c>
      <c r="F177" s="194">
        <f t="shared" si="7"/>
        <v>6140.5829674766019</v>
      </c>
      <c r="G177" s="181">
        <v>951.52201120243535</v>
      </c>
      <c r="H177" s="181">
        <v>5189.0609562741665</v>
      </c>
      <c r="I177" s="181">
        <v>7814.206350405615</v>
      </c>
      <c r="J177" s="181">
        <v>4255.440605492644</v>
      </c>
      <c r="K177" s="181">
        <v>811.98500157796013</v>
      </c>
    </row>
    <row r="178" spans="1:11" s="121" customFormat="1">
      <c r="A178" s="451"/>
      <c r="B178" s="456" t="s">
        <v>110</v>
      </c>
      <c r="C178" s="187">
        <f t="shared" si="6"/>
        <v>20264.91310847229</v>
      </c>
      <c r="D178" s="187">
        <v>139.76305728899999</v>
      </c>
      <c r="E178" s="187">
        <v>928.54718483999989</v>
      </c>
      <c r="F178" s="190">
        <f t="shared" si="7"/>
        <v>6256.9240813671558</v>
      </c>
      <c r="G178" s="187">
        <v>1039.5133172731576</v>
      </c>
      <c r="H178" s="187">
        <v>5217.4107640939983</v>
      </c>
      <c r="I178" s="187">
        <v>7977.1358862088173</v>
      </c>
      <c r="J178" s="187">
        <v>4158.6580164506495</v>
      </c>
      <c r="K178" s="187">
        <v>803.88488231666975</v>
      </c>
    </row>
    <row r="180" spans="1:11">
      <c r="A180" s="491" t="s">
        <v>195</v>
      </c>
      <c r="B180" s="474"/>
      <c r="C180" s="474"/>
      <c r="D180" s="474"/>
      <c r="E180" s="474"/>
    </row>
    <row r="181" spans="1:11">
      <c r="A181" s="475"/>
      <c r="B181" s="474"/>
      <c r="C181" s="500"/>
      <c r="D181" s="500"/>
      <c r="E181" s="500"/>
      <c r="F181" s="74"/>
      <c r="G181" s="74"/>
      <c r="H181" s="74"/>
      <c r="I181" s="74"/>
      <c r="J181" s="74"/>
      <c r="K181" s="74"/>
    </row>
    <row r="182" spans="1:11">
      <c r="A182" s="475" t="s">
        <v>119</v>
      </c>
      <c r="B182" s="474"/>
      <c r="C182" s="501"/>
      <c r="D182" s="501"/>
      <c r="E182" s="501"/>
      <c r="F182" s="496"/>
      <c r="G182" s="496"/>
      <c r="H182" s="496"/>
      <c r="I182" s="496"/>
      <c r="J182" s="496"/>
      <c r="K182" s="496"/>
    </row>
    <row r="183" spans="1:11">
      <c r="A183" s="475" t="s">
        <v>120</v>
      </c>
      <c r="B183" s="474"/>
      <c r="C183" s="501"/>
      <c r="D183" s="501"/>
      <c r="E183" s="501"/>
      <c r="F183" s="496"/>
      <c r="G183" s="496"/>
      <c r="H183" s="496"/>
      <c r="I183" s="496"/>
      <c r="J183" s="496"/>
      <c r="K183" s="496"/>
    </row>
    <row r="184" spans="1:11">
      <c r="A184" s="488" t="s">
        <v>168</v>
      </c>
      <c r="B184" s="121"/>
      <c r="C184" s="499"/>
      <c r="D184" s="499"/>
      <c r="E184" s="499"/>
      <c r="F184" s="496"/>
      <c r="G184" s="496"/>
      <c r="H184" s="496"/>
      <c r="I184" s="496"/>
      <c r="J184" s="496"/>
      <c r="K184" s="496"/>
    </row>
    <row r="185" spans="1:11">
      <c r="C185" s="497"/>
      <c r="D185" s="497"/>
      <c r="E185" s="497"/>
      <c r="F185" s="497"/>
      <c r="G185" s="497"/>
      <c r="H185" s="497"/>
      <c r="I185" s="497"/>
      <c r="J185" s="497"/>
      <c r="K185" s="497"/>
    </row>
    <row r="186" spans="1:11">
      <c r="C186" s="497"/>
      <c r="D186" s="497"/>
      <c r="E186" s="497"/>
      <c r="F186" s="497"/>
      <c r="G186" s="497"/>
      <c r="H186" s="497"/>
      <c r="I186" s="497"/>
      <c r="J186" s="497"/>
      <c r="K186" s="497"/>
    </row>
    <row r="187" spans="1:11">
      <c r="C187" s="497"/>
      <c r="D187" s="497"/>
      <c r="E187" s="497"/>
      <c r="G187" s="497"/>
      <c r="H187" s="497"/>
      <c r="I187" s="497"/>
      <c r="J187" s="497"/>
      <c r="K187" s="497"/>
    </row>
  </sheetData>
  <sheetProtection formatCells="0" insertColumns="0" insertRows="0" deleteColumns="0" deleteRows="0"/>
  <mergeCells count="10">
    <mergeCell ref="A1:I1"/>
    <mergeCell ref="A2:K2"/>
    <mergeCell ref="A3:B4"/>
    <mergeCell ref="D3:D4"/>
    <mergeCell ref="E3:E4"/>
    <mergeCell ref="K3:K4"/>
    <mergeCell ref="I3:I4"/>
    <mergeCell ref="F3:H3"/>
    <mergeCell ref="J3:J4"/>
    <mergeCell ref="C3:C4"/>
  </mergeCells>
  <printOptions horizontalCentered="1"/>
  <pageMargins left="0.7" right="0.7" top="0.75" bottom="0.75" header="0.3" footer="0.3"/>
  <pageSetup paperSize="9" orientation="landscape" r:id="rId1"/>
  <ignoredErrors>
    <ignoredError sqref="C113:C115 F113:F11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84"/>
  <sheetViews>
    <sheetView zoomScaleNormal="100" workbookViewId="0">
      <pane xSplit="2" ySplit="4" topLeftCell="C172" activePane="bottomRight" state="frozen"/>
      <selection pane="topRight" activeCell="G153" sqref="G153"/>
      <selection pane="bottomLeft" activeCell="G153" sqref="G153"/>
      <selection pane="bottomRight" sqref="A1:J1"/>
    </sheetView>
  </sheetViews>
  <sheetFormatPr defaultColWidth="9.1796875" defaultRowHeight="13"/>
  <cols>
    <col min="1" max="2" width="6.81640625" style="65" customWidth="1"/>
    <col min="3" max="3" width="13" style="65" customWidth="1"/>
    <col min="4" max="4" width="11.54296875" style="65" bestFit="1" customWidth="1"/>
    <col min="5" max="7" width="10.81640625" style="65" bestFit="1" customWidth="1"/>
    <col min="8" max="8" width="9.81640625" style="65" customWidth="1"/>
    <col min="9" max="11" width="10.81640625" style="65" customWidth="1"/>
    <col min="12" max="12" width="11.81640625" style="65" customWidth="1"/>
    <col min="13" max="16384" width="9.1796875" style="65"/>
  </cols>
  <sheetData>
    <row r="1" spans="1:14">
      <c r="A1" s="716" t="s">
        <v>196</v>
      </c>
      <c r="B1" s="716"/>
      <c r="C1" s="716"/>
      <c r="D1" s="716"/>
      <c r="E1" s="716"/>
      <c r="F1" s="716"/>
      <c r="G1" s="716"/>
      <c r="H1" s="716"/>
      <c r="I1" s="716"/>
      <c r="J1" s="716"/>
    </row>
    <row r="2" spans="1:14">
      <c r="A2" s="750" t="s">
        <v>97</v>
      </c>
      <c r="B2" s="750"/>
      <c r="C2" s="750"/>
      <c r="D2" s="750"/>
      <c r="E2" s="750"/>
      <c r="F2" s="750"/>
      <c r="G2" s="750"/>
      <c r="H2" s="750"/>
      <c r="I2" s="750"/>
      <c r="J2" s="750"/>
      <c r="K2" s="750"/>
      <c r="L2" s="750"/>
    </row>
    <row r="3" spans="1:14" s="121" customFormat="1" ht="14.25" customHeight="1">
      <c r="A3" s="773" t="s">
        <v>98</v>
      </c>
      <c r="B3" s="773"/>
      <c r="C3" s="775" t="s">
        <v>197</v>
      </c>
      <c r="D3" s="777" t="s">
        <v>198</v>
      </c>
      <c r="E3" s="778"/>
      <c r="F3" s="779"/>
      <c r="G3" s="780"/>
      <c r="H3" s="781"/>
      <c r="I3" s="770" t="s">
        <v>199</v>
      </c>
      <c r="J3" s="771"/>
      <c r="K3" s="772"/>
      <c r="L3" s="768" t="s">
        <v>200</v>
      </c>
    </row>
    <row r="4" spans="1:14" s="121" customFormat="1" ht="60" customHeight="1">
      <c r="A4" s="774"/>
      <c r="B4" s="774"/>
      <c r="C4" s="776"/>
      <c r="D4" s="502" t="s">
        <v>102</v>
      </c>
      <c r="E4" s="562" t="s">
        <v>201</v>
      </c>
      <c r="F4" s="676" t="s">
        <v>202</v>
      </c>
      <c r="G4" s="674" t="s">
        <v>203</v>
      </c>
      <c r="H4" s="675" t="s">
        <v>204</v>
      </c>
      <c r="I4" s="476" t="s">
        <v>102</v>
      </c>
      <c r="J4" s="562" t="s">
        <v>193</v>
      </c>
      <c r="K4" s="561" t="s">
        <v>194</v>
      </c>
      <c r="L4" s="769"/>
    </row>
    <row r="5" spans="1:14" s="121" customFormat="1" ht="14.5">
      <c r="A5" s="471">
        <v>2011</v>
      </c>
      <c r="B5" s="453" t="s">
        <v>105</v>
      </c>
      <c r="C5" s="170">
        <f>D5+I5+L5</f>
        <v>16393.849999999999</v>
      </c>
      <c r="D5" s="166">
        <f>E5+F5+G5+H5</f>
        <v>13475.43</v>
      </c>
      <c r="E5" s="228">
        <v>3653.48</v>
      </c>
      <c r="F5" s="229">
        <v>3204.83</v>
      </c>
      <c r="G5" s="316">
        <v>6435.68</v>
      </c>
      <c r="H5" s="229">
        <v>181.44</v>
      </c>
      <c r="I5" s="208">
        <f>J5+K5</f>
        <v>807.48</v>
      </c>
      <c r="J5" s="229">
        <v>559.28</v>
      </c>
      <c r="K5" s="316">
        <v>248.2</v>
      </c>
      <c r="L5" s="229">
        <v>2110.94</v>
      </c>
      <c r="M5" s="120"/>
      <c r="N5" s="120"/>
    </row>
    <row r="6" spans="1:14" s="121" customFormat="1" ht="14.5">
      <c r="A6" s="472"/>
      <c r="B6" s="450" t="s">
        <v>106</v>
      </c>
      <c r="C6" s="166">
        <f>D6+I6+L6</f>
        <v>16117.65</v>
      </c>
      <c r="D6" s="166">
        <f>E6+F6+G6+H6</f>
        <v>13083.21</v>
      </c>
      <c r="E6" s="209">
        <v>3484.53</v>
      </c>
      <c r="F6" s="210">
        <v>3298.62</v>
      </c>
      <c r="G6" s="208">
        <v>6119.06</v>
      </c>
      <c r="H6" s="210">
        <v>181</v>
      </c>
      <c r="I6" s="208">
        <f>J6+K6</f>
        <v>900.34</v>
      </c>
      <c r="J6" s="210">
        <v>557.44000000000005</v>
      </c>
      <c r="K6" s="208">
        <v>342.9</v>
      </c>
      <c r="L6" s="210">
        <v>2134.1</v>
      </c>
      <c r="M6" s="120"/>
      <c r="N6" s="120"/>
    </row>
    <row r="7" spans="1:14" s="121" customFormat="1" ht="14.5">
      <c r="A7" s="472"/>
      <c r="B7" s="450" t="s">
        <v>107</v>
      </c>
      <c r="C7" s="166">
        <f t="shared" ref="C7:C70" si="0">D7+I7+L7</f>
        <v>17905.71</v>
      </c>
      <c r="D7" s="166">
        <f t="shared" ref="D7:D70" si="1">E7+F7+G7+H7</f>
        <v>14938.33</v>
      </c>
      <c r="E7" s="209">
        <v>4019.3</v>
      </c>
      <c r="F7" s="210">
        <v>3280.12</v>
      </c>
      <c r="G7" s="208">
        <v>7461.02</v>
      </c>
      <c r="H7" s="210">
        <v>177.89</v>
      </c>
      <c r="I7" s="208">
        <f t="shared" ref="I7:I70" si="2">J7+K7</f>
        <v>860.21</v>
      </c>
      <c r="J7" s="210">
        <v>648.78</v>
      </c>
      <c r="K7" s="208">
        <v>211.43</v>
      </c>
      <c r="L7" s="210">
        <v>2107.17</v>
      </c>
      <c r="M7" s="120"/>
      <c r="N7" s="120"/>
    </row>
    <row r="8" spans="1:14" s="121" customFormat="1" ht="14.5">
      <c r="A8" s="472"/>
      <c r="B8" s="450" t="s">
        <v>108</v>
      </c>
      <c r="C8" s="166">
        <f t="shared" si="0"/>
        <v>17582.829999999998</v>
      </c>
      <c r="D8" s="166">
        <f t="shared" si="1"/>
        <v>14644.21</v>
      </c>
      <c r="E8" s="209">
        <v>3767.91</v>
      </c>
      <c r="F8" s="210">
        <v>3270.65</v>
      </c>
      <c r="G8" s="208">
        <v>7433.23</v>
      </c>
      <c r="H8" s="210">
        <v>172.42</v>
      </c>
      <c r="I8" s="208">
        <f t="shared" si="2"/>
        <v>812.63</v>
      </c>
      <c r="J8" s="210">
        <v>597.5</v>
      </c>
      <c r="K8" s="208">
        <v>215.13</v>
      </c>
      <c r="L8" s="210">
        <v>2125.9899999999998</v>
      </c>
      <c r="M8" s="120"/>
      <c r="N8" s="120"/>
    </row>
    <row r="9" spans="1:14" s="121" customFormat="1" ht="14.5">
      <c r="A9" s="472"/>
      <c r="B9" s="450" t="s">
        <v>109</v>
      </c>
      <c r="C9" s="166">
        <f t="shared" si="0"/>
        <v>17092.14</v>
      </c>
      <c r="D9" s="166">
        <f t="shared" si="1"/>
        <v>14039.6</v>
      </c>
      <c r="E9" s="209">
        <v>3952.66</v>
      </c>
      <c r="F9" s="210">
        <v>3331.97</v>
      </c>
      <c r="G9" s="208">
        <v>6583.6</v>
      </c>
      <c r="H9" s="210">
        <v>171.37</v>
      </c>
      <c r="I9" s="208">
        <f t="shared" si="2"/>
        <v>915.29</v>
      </c>
      <c r="J9" s="210">
        <v>597.49</v>
      </c>
      <c r="K9" s="208">
        <v>317.8</v>
      </c>
      <c r="L9" s="210">
        <v>2137.25</v>
      </c>
      <c r="M9" s="120"/>
      <c r="N9" s="120"/>
    </row>
    <row r="10" spans="1:14" s="121" customFormat="1" ht="14.5">
      <c r="A10" s="472"/>
      <c r="B10" s="450" t="s">
        <v>110</v>
      </c>
      <c r="C10" s="166">
        <f t="shared" si="0"/>
        <v>18521.969999999998</v>
      </c>
      <c r="D10" s="166">
        <f t="shared" si="1"/>
        <v>15411.21</v>
      </c>
      <c r="E10" s="209">
        <v>3895.44</v>
      </c>
      <c r="F10" s="210">
        <v>3369.87</v>
      </c>
      <c r="G10" s="208">
        <v>7973.86</v>
      </c>
      <c r="H10" s="210">
        <v>172.04</v>
      </c>
      <c r="I10" s="208">
        <f t="shared" si="2"/>
        <v>959.89</v>
      </c>
      <c r="J10" s="210">
        <v>767.47</v>
      </c>
      <c r="K10" s="208">
        <v>192.42</v>
      </c>
      <c r="L10" s="210">
        <v>2150.87</v>
      </c>
      <c r="M10" s="120"/>
      <c r="N10" s="120"/>
    </row>
    <row r="11" spans="1:14" s="121" customFormat="1" ht="14.5">
      <c r="A11" s="472"/>
      <c r="B11" s="450" t="s">
        <v>111</v>
      </c>
      <c r="C11" s="166">
        <f t="shared" si="0"/>
        <v>17810.349999999999</v>
      </c>
      <c r="D11" s="166">
        <f t="shared" si="1"/>
        <v>15053.55</v>
      </c>
      <c r="E11" s="209">
        <v>3322.76</v>
      </c>
      <c r="F11" s="210">
        <v>3427.4</v>
      </c>
      <c r="G11" s="208">
        <v>8132.14</v>
      </c>
      <c r="H11" s="210">
        <v>171.25</v>
      </c>
      <c r="I11" s="208">
        <f t="shared" si="2"/>
        <v>626.99</v>
      </c>
      <c r="J11" s="210">
        <v>444.42</v>
      </c>
      <c r="K11" s="208">
        <v>182.57</v>
      </c>
      <c r="L11" s="210">
        <v>2129.81</v>
      </c>
      <c r="M11" s="120"/>
      <c r="N11" s="120"/>
    </row>
    <row r="12" spans="1:14" s="121" customFormat="1" ht="14.5">
      <c r="A12" s="472"/>
      <c r="B12" s="450" t="s">
        <v>112</v>
      </c>
      <c r="C12" s="166">
        <f t="shared" si="0"/>
        <v>17879.830000000002</v>
      </c>
      <c r="D12" s="166">
        <f t="shared" si="1"/>
        <v>14909.500000000002</v>
      </c>
      <c r="E12" s="209">
        <v>3401.81</v>
      </c>
      <c r="F12" s="210">
        <v>3459.62</v>
      </c>
      <c r="G12" s="208">
        <v>7878.47</v>
      </c>
      <c r="H12" s="210">
        <v>169.6</v>
      </c>
      <c r="I12" s="208">
        <f t="shared" si="2"/>
        <v>767.19</v>
      </c>
      <c r="J12" s="210">
        <v>536.01</v>
      </c>
      <c r="K12" s="208">
        <v>231.18</v>
      </c>
      <c r="L12" s="210">
        <v>2203.14</v>
      </c>
      <c r="M12" s="120"/>
      <c r="N12" s="120"/>
    </row>
    <row r="13" spans="1:14" s="121" customFormat="1" ht="14.5">
      <c r="A13" s="472"/>
      <c r="B13" s="450" t="s">
        <v>113</v>
      </c>
      <c r="C13" s="166">
        <f t="shared" si="0"/>
        <v>19624.07</v>
      </c>
      <c r="D13" s="166">
        <f t="shared" si="1"/>
        <v>16980.309999999998</v>
      </c>
      <c r="E13" s="209">
        <v>4498.84</v>
      </c>
      <c r="F13" s="210">
        <v>3475.76</v>
      </c>
      <c r="G13" s="208">
        <v>8835.4599999999991</v>
      </c>
      <c r="H13" s="210">
        <v>170.25</v>
      </c>
      <c r="I13" s="208">
        <f t="shared" si="2"/>
        <v>450.25</v>
      </c>
      <c r="J13" s="210">
        <v>313.10000000000002</v>
      </c>
      <c r="K13" s="208">
        <v>137.15</v>
      </c>
      <c r="L13" s="210">
        <v>2193.5100000000002</v>
      </c>
      <c r="M13" s="120"/>
      <c r="N13" s="120"/>
    </row>
    <row r="14" spans="1:14" s="121" customFormat="1" ht="14.5">
      <c r="A14" s="472"/>
      <c r="B14" s="450" t="s">
        <v>114</v>
      </c>
      <c r="C14" s="166">
        <f t="shared" si="0"/>
        <v>19821.36</v>
      </c>
      <c r="D14" s="166">
        <f t="shared" si="1"/>
        <v>17004.41</v>
      </c>
      <c r="E14" s="209">
        <v>4644.7700000000004</v>
      </c>
      <c r="F14" s="210">
        <v>3567.41</v>
      </c>
      <c r="G14" s="208">
        <v>8645.0300000000007</v>
      </c>
      <c r="H14" s="210">
        <v>147.19999999999999</v>
      </c>
      <c r="I14" s="208">
        <f t="shared" si="2"/>
        <v>618.70000000000005</v>
      </c>
      <c r="J14" s="210">
        <v>446.97</v>
      </c>
      <c r="K14" s="208">
        <v>171.73</v>
      </c>
      <c r="L14" s="210">
        <v>2198.25</v>
      </c>
      <c r="M14" s="120"/>
      <c r="N14" s="120"/>
    </row>
    <row r="15" spans="1:14" s="121" customFormat="1" ht="14.5">
      <c r="A15" s="472"/>
      <c r="B15" s="450" t="s">
        <v>115</v>
      </c>
      <c r="C15" s="166">
        <f t="shared" si="0"/>
        <v>19223.84</v>
      </c>
      <c r="D15" s="166">
        <f t="shared" si="1"/>
        <v>16573.55</v>
      </c>
      <c r="E15" s="209">
        <v>4521.7700000000004</v>
      </c>
      <c r="F15" s="210">
        <v>3615.91</v>
      </c>
      <c r="G15" s="208">
        <v>8258.36</v>
      </c>
      <c r="H15" s="210">
        <v>177.51</v>
      </c>
      <c r="I15" s="208">
        <f t="shared" si="2"/>
        <v>419.09000000000003</v>
      </c>
      <c r="J15" s="210">
        <v>262.51</v>
      </c>
      <c r="K15" s="208">
        <v>156.58000000000001</v>
      </c>
      <c r="L15" s="210">
        <v>2231.1999999999998</v>
      </c>
      <c r="M15" s="120"/>
      <c r="N15" s="120"/>
    </row>
    <row r="16" spans="1:14" s="121" customFormat="1" ht="14.5">
      <c r="A16" s="473"/>
      <c r="B16" s="452" t="s">
        <v>116</v>
      </c>
      <c r="C16" s="168">
        <f t="shared" si="0"/>
        <v>21166.839999999997</v>
      </c>
      <c r="D16" s="168">
        <f t="shared" si="1"/>
        <v>18354.289999999997</v>
      </c>
      <c r="E16" s="211">
        <v>6028.03</v>
      </c>
      <c r="F16" s="212">
        <v>3825.93</v>
      </c>
      <c r="G16" s="213">
        <v>8306.67</v>
      </c>
      <c r="H16" s="212">
        <v>193.66</v>
      </c>
      <c r="I16" s="212">
        <f t="shared" si="2"/>
        <v>575.76</v>
      </c>
      <c r="J16" s="212">
        <v>193.49</v>
      </c>
      <c r="K16" s="213">
        <v>382.27</v>
      </c>
      <c r="L16" s="212">
        <v>2236.79</v>
      </c>
      <c r="M16" s="120"/>
      <c r="N16" s="120"/>
    </row>
    <row r="17" spans="1:14" s="121" customFormat="1" ht="14.5">
      <c r="A17" s="472">
        <v>2012</v>
      </c>
      <c r="B17" s="455" t="s">
        <v>105</v>
      </c>
      <c r="C17" s="166">
        <f t="shared" si="0"/>
        <v>19690.360000000004</v>
      </c>
      <c r="D17" s="166">
        <f t="shared" si="1"/>
        <v>17041.510000000002</v>
      </c>
      <c r="E17" s="214">
        <v>5949.94</v>
      </c>
      <c r="F17" s="208">
        <v>3721.75</v>
      </c>
      <c r="G17" s="210">
        <v>7199.42</v>
      </c>
      <c r="H17" s="208">
        <v>170.4</v>
      </c>
      <c r="I17" s="229">
        <f t="shared" si="2"/>
        <v>417.7</v>
      </c>
      <c r="J17" s="208">
        <v>227.63</v>
      </c>
      <c r="K17" s="210">
        <v>190.07</v>
      </c>
      <c r="L17" s="215">
        <v>2231.15</v>
      </c>
      <c r="M17" s="120"/>
      <c r="N17" s="120"/>
    </row>
    <row r="18" spans="1:14" s="121" customFormat="1" ht="14.5">
      <c r="A18" s="472"/>
      <c r="B18" s="455" t="s">
        <v>106</v>
      </c>
      <c r="C18" s="166">
        <f t="shared" si="0"/>
        <v>18709.509999999998</v>
      </c>
      <c r="D18" s="166">
        <f t="shared" si="1"/>
        <v>16036.349999999999</v>
      </c>
      <c r="E18" s="214">
        <v>4017.33</v>
      </c>
      <c r="F18" s="208">
        <v>3735.99</v>
      </c>
      <c r="G18" s="210">
        <v>8113.73</v>
      </c>
      <c r="H18" s="208">
        <v>169.3</v>
      </c>
      <c r="I18" s="210">
        <f t="shared" si="2"/>
        <v>379.62</v>
      </c>
      <c r="J18" s="208">
        <v>174.76</v>
      </c>
      <c r="K18" s="210">
        <v>204.86</v>
      </c>
      <c r="L18" s="215">
        <v>2293.54</v>
      </c>
      <c r="M18" s="120"/>
      <c r="N18" s="120"/>
    </row>
    <row r="19" spans="1:14" s="121" customFormat="1" ht="14.5">
      <c r="A19" s="472"/>
      <c r="B19" s="455" t="s">
        <v>107</v>
      </c>
      <c r="C19" s="166">
        <f t="shared" si="0"/>
        <v>20724.84</v>
      </c>
      <c r="D19" s="166">
        <f t="shared" si="1"/>
        <v>17753.419999999998</v>
      </c>
      <c r="E19" s="214">
        <v>5669.11</v>
      </c>
      <c r="F19" s="208">
        <v>3648.94</v>
      </c>
      <c r="G19" s="210">
        <v>8263.2199999999993</v>
      </c>
      <c r="H19" s="208">
        <v>172.15</v>
      </c>
      <c r="I19" s="210">
        <f t="shared" si="2"/>
        <v>692.61</v>
      </c>
      <c r="J19" s="208">
        <v>507.85</v>
      </c>
      <c r="K19" s="210">
        <v>184.76</v>
      </c>
      <c r="L19" s="215">
        <v>2278.81</v>
      </c>
      <c r="M19" s="120"/>
      <c r="N19" s="120"/>
    </row>
    <row r="20" spans="1:14" s="121" customFormat="1" ht="14.5">
      <c r="A20" s="472"/>
      <c r="B20" s="455" t="s">
        <v>108</v>
      </c>
      <c r="C20" s="166">
        <f t="shared" si="0"/>
        <v>18912.309999999998</v>
      </c>
      <c r="D20" s="166">
        <f t="shared" si="1"/>
        <v>16146.5</v>
      </c>
      <c r="E20" s="214">
        <v>5289.78</v>
      </c>
      <c r="F20" s="208">
        <v>3815.07</v>
      </c>
      <c r="G20" s="210">
        <v>6866.08</v>
      </c>
      <c r="H20" s="208">
        <v>175.57</v>
      </c>
      <c r="I20" s="210">
        <f t="shared" si="2"/>
        <v>505.46</v>
      </c>
      <c r="J20" s="208">
        <v>352.02</v>
      </c>
      <c r="K20" s="210">
        <v>153.44</v>
      </c>
      <c r="L20" s="215">
        <v>2260.35</v>
      </c>
      <c r="M20" s="120"/>
      <c r="N20" s="120"/>
    </row>
    <row r="21" spans="1:14" s="121" customFormat="1" ht="14.5">
      <c r="A21" s="472"/>
      <c r="B21" s="455" t="s">
        <v>109</v>
      </c>
      <c r="C21" s="166">
        <f t="shared" si="0"/>
        <v>18105.11</v>
      </c>
      <c r="D21" s="166">
        <f t="shared" si="1"/>
        <v>15309.24</v>
      </c>
      <c r="E21" s="214">
        <v>4174.54</v>
      </c>
      <c r="F21" s="208">
        <v>3945.55</v>
      </c>
      <c r="G21" s="210">
        <v>7012.52</v>
      </c>
      <c r="H21" s="208">
        <v>176.63</v>
      </c>
      <c r="I21" s="210">
        <f t="shared" si="2"/>
        <v>502.37</v>
      </c>
      <c r="J21" s="208">
        <v>251.09</v>
      </c>
      <c r="K21" s="210">
        <v>251.28</v>
      </c>
      <c r="L21" s="215">
        <v>2293.5</v>
      </c>
      <c r="M21" s="120"/>
      <c r="N21" s="120"/>
    </row>
    <row r="22" spans="1:14" s="121" customFormat="1" ht="14.5">
      <c r="A22" s="472"/>
      <c r="B22" s="455" t="s">
        <v>110</v>
      </c>
      <c r="C22" s="166">
        <f t="shared" si="0"/>
        <v>20104.759999999995</v>
      </c>
      <c r="D22" s="166">
        <f t="shared" si="1"/>
        <v>17025.159999999996</v>
      </c>
      <c r="E22" s="214">
        <v>4703.95</v>
      </c>
      <c r="F22" s="208">
        <v>3864.89</v>
      </c>
      <c r="G22" s="210">
        <v>8284.9699999999993</v>
      </c>
      <c r="H22" s="208">
        <v>171.35</v>
      </c>
      <c r="I22" s="210">
        <f t="shared" si="2"/>
        <v>762.12</v>
      </c>
      <c r="J22" s="208">
        <v>617.87</v>
      </c>
      <c r="K22" s="210">
        <v>144.25</v>
      </c>
      <c r="L22" s="215">
        <v>2317.48</v>
      </c>
      <c r="M22" s="120"/>
      <c r="N22" s="120"/>
    </row>
    <row r="23" spans="1:14" s="121" customFormat="1" ht="14.5">
      <c r="A23" s="472"/>
      <c r="B23" s="455" t="s">
        <v>111</v>
      </c>
      <c r="C23" s="166">
        <f t="shared" si="0"/>
        <v>19101.09</v>
      </c>
      <c r="D23" s="166">
        <f t="shared" si="1"/>
        <v>16233.36</v>
      </c>
      <c r="E23" s="214">
        <v>4518.49</v>
      </c>
      <c r="F23" s="208">
        <v>3885.72</v>
      </c>
      <c r="G23" s="210">
        <v>7649.11</v>
      </c>
      <c r="H23" s="208">
        <v>180.04</v>
      </c>
      <c r="I23" s="210">
        <f t="shared" si="2"/>
        <v>630.34</v>
      </c>
      <c r="J23" s="208">
        <v>468.23</v>
      </c>
      <c r="K23" s="210">
        <v>162.11000000000001</v>
      </c>
      <c r="L23" s="215">
        <v>2237.39</v>
      </c>
      <c r="M23" s="120"/>
      <c r="N23" s="120"/>
    </row>
    <row r="24" spans="1:14" s="121" customFormat="1" ht="14.5">
      <c r="A24" s="472"/>
      <c r="B24" s="455" t="s">
        <v>112</v>
      </c>
      <c r="C24" s="166">
        <f t="shared" si="0"/>
        <v>18331.88</v>
      </c>
      <c r="D24" s="166">
        <f t="shared" si="1"/>
        <v>15483.91</v>
      </c>
      <c r="E24" s="214">
        <v>4350.4799999999996</v>
      </c>
      <c r="F24" s="208">
        <v>3718.62</v>
      </c>
      <c r="G24" s="210">
        <v>7234.78</v>
      </c>
      <c r="H24" s="208">
        <v>180.03</v>
      </c>
      <c r="I24" s="210">
        <f t="shared" si="2"/>
        <v>555.01</v>
      </c>
      <c r="J24" s="208">
        <v>412.78</v>
      </c>
      <c r="K24" s="210">
        <v>142.22999999999999</v>
      </c>
      <c r="L24" s="215">
        <v>2292.96</v>
      </c>
      <c r="M24" s="120"/>
      <c r="N24" s="120"/>
    </row>
    <row r="25" spans="1:14" s="121" customFormat="1" ht="14.5">
      <c r="A25" s="472"/>
      <c r="B25" s="455" t="s">
        <v>113</v>
      </c>
      <c r="C25" s="166">
        <f t="shared" si="0"/>
        <v>20404.809999999998</v>
      </c>
      <c r="D25" s="166">
        <f t="shared" si="1"/>
        <v>17422.669999999998</v>
      </c>
      <c r="E25" s="214">
        <v>5806.06</v>
      </c>
      <c r="F25" s="208">
        <v>3774.99</v>
      </c>
      <c r="G25" s="210">
        <v>7657.8</v>
      </c>
      <c r="H25" s="208">
        <v>183.82</v>
      </c>
      <c r="I25" s="210">
        <f t="shared" si="2"/>
        <v>656.51</v>
      </c>
      <c r="J25" s="208">
        <v>506.03</v>
      </c>
      <c r="K25" s="210">
        <v>150.47999999999999</v>
      </c>
      <c r="L25" s="215">
        <v>2325.63</v>
      </c>
      <c r="M25" s="120"/>
      <c r="N25" s="120"/>
    </row>
    <row r="26" spans="1:14" s="121" customFormat="1" ht="14.5">
      <c r="A26" s="472"/>
      <c r="B26" s="455" t="s">
        <v>114</v>
      </c>
      <c r="C26" s="166">
        <f t="shared" si="0"/>
        <v>19553.329999999998</v>
      </c>
      <c r="D26" s="166">
        <f t="shared" si="1"/>
        <v>16782.59</v>
      </c>
      <c r="E26" s="214">
        <v>4442.7299999999996</v>
      </c>
      <c r="F26" s="208">
        <v>3781.14</v>
      </c>
      <c r="G26" s="210">
        <v>8374.6299999999992</v>
      </c>
      <c r="H26" s="208">
        <v>184.09</v>
      </c>
      <c r="I26" s="210">
        <f t="shared" si="2"/>
        <v>407.54999999999995</v>
      </c>
      <c r="J26" s="208">
        <v>256.33</v>
      </c>
      <c r="K26" s="210">
        <v>151.22</v>
      </c>
      <c r="L26" s="215">
        <v>2363.19</v>
      </c>
      <c r="M26" s="120"/>
      <c r="N26" s="120"/>
    </row>
    <row r="27" spans="1:14" s="121" customFormat="1" ht="14.5">
      <c r="A27" s="472"/>
      <c r="B27" s="455" t="s">
        <v>115</v>
      </c>
      <c r="C27" s="166">
        <f t="shared" si="0"/>
        <v>18706.690000000002</v>
      </c>
      <c r="D27" s="166">
        <f t="shared" si="1"/>
        <v>15839.060000000001</v>
      </c>
      <c r="E27" s="214">
        <v>4495.26</v>
      </c>
      <c r="F27" s="208">
        <v>3854.22</v>
      </c>
      <c r="G27" s="210">
        <v>7302.79</v>
      </c>
      <c r="H27" s="208">
        <v>186.79</v>
      </c>
      <c r="I27" s="210">
        <f t="shared" si="2"/>
        <v>479.20000000000005</v>
      </c>
      <c r="J27" s="208">
        <v>299.79000000000002</v>
      </c>
      <c r="K27" s="210">
        <v>179.41</v>
      </c>
      <c r="L27" s="215">
        <v>2388.4299999999998</v>
      </c>
      <c r="M27" s="120"/>
      <c r="N27" s="120"/>
    </row>
    <row r="28" spans="1:14" s="121" customFormat="1" ht="14.5">
      <c r="A28" s="472"/>
      <c r="B28" s="455" t="s">
        <v>116</v>
      </c>
      <c r="C28" s="168">
        <f t="shared" si="0"/>
        <v>19685.280000000002</v>
      </c>
      <c r="D28" s="168">
        <f t="shared" si="1"/>
        <v>16745.370000000003</v>
      </c>
      <c r="E28" s="214">
        <v>4442.96</v>
      </c>
      <c r="F28" s="208">
        <v>4065.15</v>
      </c>
      <c r="G28" s="210">
        <v>8047.06</v>
      </c>
      <c r="H28" s="208">
        <v>190.2</v>
      </c>
      <c r="I28" s="212">
        <f t="shared" si="2"/>
        <v>634.21</v>
      </c>
      <c r="J28" s="208">
        <v>471.51</v>
      </c>
      <c r="K28" s="210">
        <v>162.69999999999999</v>
      </c>
      <c r="L28" s="215">
        <v>2305.6999999999998</v>
      </c>
      <c r="M28" s="120"/>
      <c r="N28" s="120"/>
    </row>
    <row r="29" spans="1:14" s="121" customFormat="1" ht="14.5">
      <c r="A29" s="471">
        <v>2013</v>
      </c>
      <c r="B29" s="453" t="s">
        <v>105</v>
      </c>
      <c r="C29" s="166">
        <f t="shared" si="0"/>
        <v>19220.580000000002</v>
      </c>
      <c r="D29" s="166">
        <f t="shared" si="1"/>
        <v>16219.43</v>
      </c>
      <c r="E29" s="228">
        <v>4069.29</v>
      </c>
      <c r="F29" s="229">
        <v>3948.57</v>
      </c>
      <c r="G29" s="316">
        <v>8038.42</v>
      </c>
      <c r="H29" s="229">
        <v>163.15</v>
      </c>
      <c r="I29" s="208">
        <f t="shared" si="2"/>
        <v>654.15000000000009</v>
      </c>
      <c r="J29" s="229">
        <v>495.54</v>
      </c>
      <c r="K29" s="316">
        <v>158.61000000000001</v>
      </c>
      <c r="L29" s="229">
        <v>2347</v>
      </c>
      <c r="M29" s="120"/>
      <c r="N29" s="120"/>
    </row>
    <row r="30" spans="1:14" s="121" customFormat="1" ht="14.5">
      <c r="A30" s="472"/>
      <c r="B30" s="450" t="s">
        <v>106</v>
      </c>
      <c r="C30" s="166">
        <f t="shared" si="0"/>
        <v>19112.59</v>
      </c>
      <c r="D30" s="166">
        <f t="shared" si="1"/>
        <v>15942.56</v>
      </c>
      <c r="E30" s="209">
        <v>4002.14</v>
      </c>
      <c r="F30" s="210">
        <v>3884.39</v>
      </c>
      <c r="G30" s="208">
        <v>7864.09</v>
      </c>
      <c r="H30" s="210">
        <v>191.94</v>
      </c>
      <c r="I30" s="208">
        <f t="shared" si="2"/>
        <v>763.81</v>
      </c>
      <c r="J30" s="210">
        <v>588.79999999999995</v>
      </c>
      <c r="K30" s="208">
        <v>175.01</v>
      </c>
      <c r="L30" s="210">
        <v>2406.2199999999998</v>
      </c>
      <c r="M30" s="120"/>
      <c r="N30" s="120"/>
    </row>
    <row r="31" spans="1:14" s="121" customFormat="1" ht="14.5">
      <c r="A31" s="472"/>
      <c r="B31" s="450" t="s">
        <v>107</v>
      </c>
      <c r="C31" s="166">
        <f t="shared" si="0"/>
        <v>20452.599999999999</v>
      </c>
      <c r="D31" s="166">
        <f t="shared" si="1"/>
        <v>17315.199999999997</v>
      </c>
      <c r="E31" s="209">
        <v>4523.63</v>
      </c>
      <c r="F31" s="210">
        <v>3847.6</v>
      </c>
      <c r="G31" s="208">
        <v>8750.7099999999991</v>
      </c>
      <c r="H31" s="210">
        <v>193.26</v>
      </c>
      <c r="I31" s="208">
        <f t="shared" si="2"/>
        <v>833.82999999999993</v>
      </c>
      <c r="J31" s="210">
        <v>697.78</v>
      </c>
      <c r="K31" s="208">
        <v>136.05000000000001</v>
      </c>
      <c r="L31" s="210">
        <v>2303.5700000000002</v>
      </c>
      <c r="M31" s="120"/>
      <c r="N31" s="120"/>
    </row>
    <row r="32" spans="1:14" s="121" customFormat="1" ht="14.5">
      <c r="A32" s="472"/>
      <c r="B32" s="450" t="s">
        <v>108</v>
      </c>
      <c r="C32" s="166">
        <f t="shared" si="0"/>
        <v>18964.159999999996</v>
      </c>
      <c r="D32" s="166">
        <f t="shared" si="1"/>
        <v>15983.789999999999</v>
      </c>
      <c r="E32" s="209">
        <v>3651.13</v>
      </c>
      <c r="F32" s="210">
        <v>3918.53</v>
      </c>
      <c r="G32" s="208">
        <v>8219</v>
      </c>
      <c r="H32" s="210">
        <v>195.13</v>
      </c>
      <c r="I32" s="208">
        <f t="shared" si="2"/>
        <v>670.2</v>
      </c>
      <c r="J32" s="210">
        <v>537.26</v>
      </c>
      <c r="K32" s="208">
        <v>132.94</v>
      </c>
      <c r="L32" s="210">
        <v>2310.17</v>
      </c>
      <c r="M32" s="120"/>
      <c r="N32" s="120"/>
    </row>
    <row r="33" spans="1:14" s="121" customFormat="1" ht="14.5">
      <c r="A33" s="472"/>
      <c r="B33" s="450" t="s">
        <v>109</v>
      </c>
      <c r="C33" s="166">
        <f t="shared" si="0"/>
        <v>18276.62</v>
      </c>
      <c r="D33" s="166">
        <f t="shared" si="1"/>
        <v>15325.710000000001</v>
      </c>
      <c r="E33" s="209">
        <v>3785.76</v>
      </c>
      <c r="F33" s="210">
        <v>3950.01</v>
      </c>
      <c r="G33" s="208">
        <v>7397.1</v>
      </c>
      <c r="H33" s="210">
        <v>192.84</v>
      </c>
      <c r="I33" s="208">
        <f t="shared" si="2"/>
        <v>519.14</v>
      </c>
      <c r="J33" s="210">
        <v>360.86</v>
      </c>
      <c r="K33" s="208">
        <v>158.28</v>
      </c>
      <c r="L33" s="210">
        <v>2431.77</v>
      </c>
      <c r="M33" s="120"/>
      <c r="N33" s="120"/>
    </row>
    <row r="34" spans="1:14" s="121" customFormat="1" ht="14.5">
      <c r="A34" s="472"/>
      <c r="B34" s="450" t="s">
        <v>110</v>
      </c>
      <c r="C34" s="166">
        <f t="shared" si="0"/>
        <v>20426.61</v>
      </c>
      <c r="D34" s="166">
        <f t="shared" si="1"/>
        <v>17141.46</v>
      </c>
      <c r="E34" s="209">
        <v>4274.63</v>
      </c>
      <c r="F34" s="210">
        <v>4009.67</v>
      </c>
      <c r="G34" s="208">
        <v>8667.8799999999992</v>
      </c>
      <c r="H34" s="210">
        <v>189.28</v>
      </c>
      <c r="I34" s="208">
        <f t="shared" si="2"/>
        <v>884.74</v>
      </c>
      <c r="J34" s="210">
        <v>770.76</v>
      </c>
      <c r="K34" s="208">
        <v>113.98</v>
      </c>
      <c r="L34" s="210">
        <v>2400.41</v>
      </c>
      <c r="M34" s="120"/>
      <c r="N34" s="120"/>
    </row>
    <row r="35" spans="1:14" s="121" customFormat="1" ht="14.5">
      <c r="A35" s="472"/>
      <c r="B35" s="450" t="s">
        <v>117</v>
      </c>
      <c r="C35" s="166">
        <f t="shared" si="0"/>
        <v>19516.8</v>
      </c>
      <c r="D35" s="166">
        <f t="shared" si="1"/>
        <v>16525.98</v>
      </c>
      <c r="E35" s="209">
        <v>3339.16</v>
      </c>
      <c r="F35" s="210">
        <v>3959.93</v>
      </c>
      <c r="G35" s="208">
        <v>8434.3799999999992</v>
      </c>
      <c r="H35" s="210">
        <v>792.51</v>
      </c>
      <c r="I35" s="208">
        <f t="shared" si="2"/>
        <v>586.73</v>
      </c>
      <c r="J35" s="210">
        <v>470.44</v>
      </c>
      <c r="K35" s="208">
        <v>116.29</v>
      </c>
      <c r="L35" s="210">
        <v>2404.09</v>
      </c>
      <c r="M35" s="120"/>
      <c r="N35" s="120"/>
    </row>
    <row r="36" spans="1:14" s="121" customFormat="1" ht="14.5">
      <c r="A36" s="472"/>
      <c r="B36" s="450" t="s">
        <v>112</v>
      </c>
      <c r="C36" s="166">
        <f t="shared" si="0"/>
        <v>19260.840000000004</v>
      </c>
      <c r="D36" s="166">
        <f t="shared" si="1"/>
        <v>16249.220000000001</v>
      </c>
      <c r="E36" s="209">
        <v>3868.73</v>
      </c>
      <c r="F36" s="210">
        <v>3932.55</v>
      </c>
      <c r="G36" s="208">
        <v>8291.93</v>
      </c>
      <c r="H36" s="210">
        <v>156.01</v>
      </c>
      <c r="I36" s="208">
        <f t="shared" si="2"/>
        <v>629.20000000000005</v>
      </c>
      <c r="J36" s="210">
        <v>530.13</v>
      </c>
      <c r="K36" s="208">
        <v>99.07</v>
      </c>
      <c r="L36" s="210">
        <v>2382.42</v>
      </c>
      <c r="M36" s="120"/>
      <c r="N36" s="120"/>
    </row>
    <row r="37" spans="1:14" s="121" customFormat="1" ht="14.5">
      <c r="A37" s="472"/>
      <c r="B37" s="450" t="s">
        <v>113</v>
      </c>
      <c r="C37" s="166">
        <f t="shared" si="0"/>
        <v>20048.660000000003</v>
      </c>
      <c r="D37" s="166">
        <f t="shared" si="1"/>
        <v>17035.810000000001</v>
      </c>
      <c r="E37" s="209">
        <v>5724.3</v>
      </c>
      <c r="F37" s="210">
        <v>3967.97</v>
      </c>
      <c r="G37" s="208">
        <v>7189.93</v>
      </c>
      <c r="H37" s="210">
        <v>153.61000000000001</v>
      </c>
      <c r="I37" s="208">
        <f t="shared" si="2"/>
        <v>649.49</v>
      </c>
      <c r="J37" s="210">
        <v>479.75</v>
      </c>
      <c r="K37" s="208">
        <v>169.74</v>
      </c>
      <c r="L37" s="210">
        <v>2363.36</v>
      </c>
      <c r="M37" s="120"/>
      <c r="N37" s="120"/>
    </row>
    <row r="38" spans="1:14" s="121" customFormat="1" ht="14.5">
      <c r="A38" s="472"/>
      <c r="B38" s="450" t="s">
        <v>114</v>
      </c>
      <c r="C38" s="166">
        <f t="shared" si="0"/>
        <v>19368.87</v>
      </c>
      <c r="D38" s="166">
        <f t="shared" si="1"/>
        <v>16504.62</v>
      </c>
      <c r="E38" s="209">
        <v>4034.25</v>
      </c>
      <c r="F38" s="210">
        <v>3944.91</v>
      </c>
      <c r="G38" s="208">
        <v>8365.93</v>
      </c>
      <c r="H38" s="210">
        <v>159.53</v>
      </c>
      <c r="I38" s="208">
        <f t="shared" si="2"/>
        <v>517.88</v>
      </c>
      <c r="J38" s="210">
        <v>412.2</v>
      </c>
      <c r="K38" s="208">
        <v>105.68</v>
      </c>
      <c r="L38" s="210">
        <v>2346.37</v>
      </c>
      <c r="M38" s="120"/>
      <c r="N38" s="120"/>
    </row>
    <row r="39" spans="1:14" s="121" customFormat="1" ht="14.5">
      <c r="A39" s="472"/>
      <c r="B39" s="450" t="s">
        <v>115</v>
      </c>
      <c r="C39" s="166">
        <f t="shared" si="0"/>
        <v>18848.23</v>
      </c>
      <c r="D39" s="166">
        <f t="shared" si="1"/>
        <v>15911.91</v>
      </c>
      <c r="E39" s="209">
        <v>4026.02</v>
      </c>
      <c r="F39" s="210">
        <v>4012.48</v>
      </c>
      <c r="G39" s="208">
        <v>7720.39</v>
      </c>
      <c r="H39" s="210">
        <v>153.02000000000001</v>
      </c>
      <c r="I39" s="208">
        <f t="shared" si="2"/>
        <v>540.53</v>
      </c>
      <c r="J39" s="210">
        <v>441.13</v>
      </c>
      <c r="K39" s="208">
        <v>99.4</v>
      </c>
      <c r="L39" s="210">
        <v>2395.79</v>
      </c>
      <c r="M39" s="120"/>
      <c r="N39" s="120"/>
    </row>
    <row r="40" spans="1:14" s="121" customFormat="1" ht="14.5">
      <c r="A40" s="473"/>
      <c r="B40" s="452" t="s">
        <v>116</v>
      </c>
      <c r="C40" s="168">
        <f t="shared" si="0"/>
        <v>19348.650000000001</v>
      </c>
      <c r="D40" s="168">
        <f t="shared" si="1"/>
        <v>16266.640000000001</v>
      </c>
      <c r="E40" s="211">
        <v>5535.47</v>
      </c>
      <c r="F40" s="212">
        <v>4077.97</v>
      </c>
      <c r="G40" s="213">
        <v>6501.64</v>
      </c>
      <c r="H40" s="212">
        <v>151.56</v>
      </c>
      <c r="I40" s="212">
        <f t="shared" si="2"/>
        <v>617.66999999999996</v>
      </c>
      <c r="J40" s="212">
        <v>506.52</v>
      </c>
      <c r="K40" s="213">
        <v>111.15</v>
      </c>
      <c r="L40" s="212">
        <v>2464.34</v>
      </c>
      <c r="M40" s="120"/>
      <c r="N40" s="120"/>
    </row>
    <row r="41" spans="1:14" s="121" customFormat="1" ht="14.5">
      <c r="A41" s="471">
        <v>2014</v>
      </c>
      <c r="B41" s="454" t="s">
        <v>105</v>
      </c>
      <c r="C41" s="166">
        <f t="shared" si="0"/>
        <v>18289.47</v>
      </c>
      <c r="D41" s="166">
        <f t="shared" si="1"/>
        <v>15268.34</v>
      </c>
      <c r="E41" s="227">
        <v>3963.79</v>
      </c>
      <c r="F41" s="316">
        <v>4056.47</v>
      </c>
      <c r="G41" s="229">
        <v>7098.01</v>
      </c>
      <c r="H41" s="316">
        <v>150.07</v>
      </c>
      <c r="I41" s="229">
        <f t="shared" si="2"/>
        <v>546.66000000000008</v>
      </c>
      <c r="J41" s="316">
        <v>386.92</v>
      </c>
      <c r="K41" s="229">
        <v>159.74</v>
      </c>
      <c r="L41" s="677">
        <v>2474.4699999999998</v>
      </c>
      <c r="M41" s="120"/>
      <c r="N41" s="120"/>
    </row>
    <row r="42" spans="1:14" s="121" customFormat="1" ht="14.5">
      <c r="A42" s="472"/>
      <c r="B42" s="455" t="s">
        <v>106</v>
      </c>
      <c r="C42" s="166">
        <f t="shared" si="0"/>
        <v>17875.07</v>
      </c>
      <c r="D42" s="166">
        <f t="shared" si="1"/>
        <v>14901.49</v>
      </c>
      <c r="E42" s="214">
        <v>4256.3</v>
      </c>
      <c r="F42" s="208">
        <v>4176.96</v>
      </c>
      <c r="G42" s="210">
        <v>6351.84</v>
      </c>
      <c r="H42" s="208">
        <v>116.39</v>
      </c>
      <c r="I42" s="210">
        <f t="shared" si="2"/>
        <v>493.12</v>
      </c>
      <c r="J42" s="208">
        <v>392.36</v>
      </c>
      <c r="K42" s="210">
        <v>100.76</v>
      </c>
      <c r="L42" s="215">
        <v>2480.46</v>
      </c>
      <c r="M42" s="120"/>
      <c r="N42" s="120"/>
    </row>
    <row r="43" spans="1:14" s="121" customFormat="1" ht="14.5">
      <c r="A43" s="472"/>
      <c r="B43" s="455" t="s">
        <v>107</v>
      </c>
      <c r="C43" s="166">
        <f t="shared" si="0"/>
        <v>19270.3</v>
      </c>
      <c r="D43" s="166">
        <f t="shared" si="1"/>
        <v>16187.36</v>
      </c>
      <c r="E43" s="214">
        <v>6262.59</v>
      </c>
      <c r="F43" s="208">
        <v>4183.99</v>
      </c>
      <c r="G43" s="210">
        <v>5636.17</v>
      </c>
      <c r="H43" s="208">
        <v>104.61</v>
      </c>
      <c r="I43" s="210">
        <f t="shared" si="2"/>
        <v>592.5</v>
      </c>
      <c r="J43" s="208">
        <v>313.18</v>
      </c>
      <c r="K43" s="210">
        <v>279.32</v>
      </c>
      <c r="L43" s="215">
        <v>2490.44</v>
      </c>
      <c r="M43" s="120"/>
      <c r="N43" s="120"/>
    </row>
    <row r="44" spans="1:14" s="121" customFormat="1" ht="14.5">
      <c r="A44" s="472"/>
      <c r="B44" s="455" t="s">
        <v>108</v>
      </c>
      <c r="C44" s="166">
        <f t="shared" si="0"/>
        <v>18439.57</v>
      </c>
      <c r="D44" s="166">
        <f t="shared" si="1"/>
        <v>15610.12</v>
      </c>
      <c r="E44" s="214">
        <v>3974.61</v>
      </c>
      <c r="F44" s="208">
        <v>4164.66</v>
      </c>
      <c r="G44" s="210">
        <v>7363.51</v>
      </c>
      <c r="H44" s="208">
        <v>107.34</v>
      </c>
      <c r="I44" s="210">
        <f t="shared" si="2"/>
        <v>489.58</v>
      </c>
      <c r="J44" s="208">
        <v>349.69</v>
      </c>
      <c r="K44" s="210">
        <v>139.88999999999999</v>
      </c>
      <c r="L44" s="215">
        <v>2339.87</v>
      </c>
      <c r="M44" s="120"/>
      <c r="N44" s="120"/>
    </row>
    <row r="45" spans="1:14" s="121" customFormat="1" ht="14.5">
      <c r="A45" s="472"/>
      <c r="B45" s="455" t="s">
        <v>109</v>
      </c>
      <c r="C45" s="166">
        <f t="shared" si="0"/>
        <v>17716.29</v>
      </c>
      <c r="D45" s="166">
        <f t="shared" si="1"/>
        <v>14843.210000000001</v>
      </c>
      <c r="E45" s="214">
        <v>3909.3</v>
      </c>
      <c r="F45" s="208">
        <v>4133.75</v>
      </c>
      <c r="G45" s="210">
        <v>6692.63</v>
      </c>
      <c r="H45" s="208">
        <v>107.53</v>
      </c>
      <c r="I45" s="210">
        <f t="shared" si="2"/>
        <v>523.49</v>
      </c>
      <c r="J45" s="208">
        <v>369.44</v>
      </c>
      <c r="K45" s="210">
        <v>154.05000000000001</v>
      </c>
      <c r="L45" s="215">
        <v>2349.59</v>
      </c>
      <c r="M45" s="120"/>
      <c r="N45" s="120"/>
    </row>
    <row r="46" spans="1:14" s="121" customFormat="1" ht="14.5">
      <c r="A46" s="472"/>
      <c r="B46" s="455" t="s">
        <v>110</v>
      </c>
      <c r="C46" s="166">
        <f t="shared" si="0"/>
        <v>19103.36</v>
      </c>
      <c r="D46" s="166">
        <f t="shared" si="1"/>
        <v>16181.599999999999</v>
      </c>
      <c r="E46" s="214">
        <v>4306.55</v>
      </c>
      <c r="F46" s="208">
        <v>4143.91</v>
      </c>
      <c r="G46" s="210">
        <v>7620.05</v>
      </c>
      <c r="H46" s="208">
        <v>111.09</v>
      </c>
      <c r="I46" s="210">
        <f t="shared" si="2"/>
        <v>572.88</v>
      </c>
      <c r="J46" s="208">
        <v>331.76</v>
      </c>
      <c r="K46" s="210">
        <v>241.12</v>
      </c>
      <c r="L46" s="215">
        <v>2348.88</v>
      </c>
      <c r="M46" s="120"/>
      <c r="N46" s="120"/>
    </row>
    <row r="47" spans="1:14" s="121" customFormat="1" ht="14.5">
      <c r="A47" s="472"/>
      <c r="B47" s="455" t="s">
        <v>117</v>
      </c>
      <c r="C47" s="166">
        <f t="shared" si="0"/>
        <v>18339.47</v>
      </c>
      <c r="D47" s="166">
        <f t="shared" si="1"/>
        <v>15437.98</v>
      </c>
      <c r="E47" s="214">
        <v>4062.72</v>
      </c>
      <c r="F47" s="208">
        <v>4080.1</v>
      </c>
      <c r="G47" s="210">
        <v>7179.8</v>
      </c>
      <c r="H47" s="208">
        <v>115.36</v>
      </c>
      <c r="I47" s="210">
        <f t="shared" si="2"/>
        <v>561.74</v>
      </c>
      <c r="J47" s="208">
        <v>460.02</v>
      </c>
      <c r="K47" s="210">
        <v>101.72</v>
      </c>
      <c r="L47" s="215">
        <v>2339.75</v>
      </c>
      <c r="M47" s="120"/>
      <c r="N47" s="120"/>
    </row>
    <row r="48" spans="1:14" s="121" customFormat="1" ht="14.5">
      <c r="A48" s="472"/>
      <c r="B48" s="455" t="s">
        <v>112</v>
      </c>
      <c r="C48" s="166">
        <f t="shared" si="0"/>
        <v>17646.23</v>
      </c>
      <c r="D48" s="166">
        <f t="shared" si="1"/>
        <v>14926.009999999998</v>
      </c>
      <c r="E48" s="214">
        <v>4046.38</v>
      </c>
      <c r="F48" s="208">
        <v>4061.58</v>
      </c>
      <c r="G48" s="210">
        <v>6702.16</v>
      </c>
      <c r="H48" s="208">
        <v>115.89</v>
      </c>
      <c r="I48" s="210">
        <f t="shared" si="2"/>
        <v>361.51000000000005</v>
      </c>
      <c r="J48" s="208">
        <v>269.22000000000003</v>
      </c>
      <c r="K48" s="210">
        <v>92.29</v>
      </c>
      <c r="L48" s="215">
        <v>2358.71</v>
      </c>
      <c r="M48" s="120"/>
      <c r="N48" s="120"/>
    </row>
    <row r="49" spans="1:14" s="121" customFormat="1" ht="14.5">
      <c r="A49" s="472"/>
      <c r="B49" s="455" t="s">
        <v>113</v>
      </c>
      <c r="C49" s="166">
        <f t="shared" si="0"/>
        <v>18940.37</v>
      </c>
      <c r="D49" s="166">
        <f t="shared" si="1"/>
        <v>16037.33</v>
      </c>
      <c r="E49" s="214">
        <v>5489.81</v>
      </c>
      <c r="F49" s="208">
        <v>4081.35</v>
      </c>
      <c r="G49" s="210">
        <v>6349.6</v>
      </c>
      <c r="H49" s="208">
        <v>116.57</v>
      </c>
      <c r="I49" s="210">
        <f t="shared" si="2"/>
        <v>527.05999999999995</v>
      </c>
      <c r="J49" s="208">
        <v>401.96</v>
      </c>
      <c r="K49" s="210">
        <v>125.1</v>
      </c>
      <c r="L49" s="215">
        <v>2375.98</v>
      </c>
      <c r="M49" s="120"/>
      <c r="N49" s="120"/>
    </row>
    <row r="50" spans="1:14" s="121" customFormat="1" ht="14.5">
      <c r="A50" s="472"/>
      <c r="B50" s="455" t="s">
        <v>114</v>
      </c>
      <c r="C50" s="166">
        <f t="shared" si="0"/>
        <v>18384.440000000002</v>
      </c>
      <c r="D50" s="166">
        <f t="shared" si="1"/>
        <v>15515.600000000002</v>
      </c>
      <c r="E50" s="214">
        <v>3971.76</v>
      </c>
      <c r="F50" s="208">
        <v>4143.29</v>
      </c>
      <c r="G50" s="210">
        <v>7285.1</v>
      </c>
      <c r="H50" s="208">
        <v>115.45</v>
      </c>
      <c r="I50" s="210">
        <f t="shared" si="2"/>
        <v>512.94000000000005</v>
      </c>
      <c r="J50" s="208">
        <v>426.29</v>
      </c>
      <c r="K50" s="210">
        <v>86.65</v>
      </c>
      <c r="L50" s="215">
        <v>2355.9</v>
      </c>
      <c r="M50" s="120"/>
      <c r="N50" s="120"/>
    </row>
    <row r="51" spans="1:14" s="121" customFormat="1" ht="14.5">
      <c r="A51" s="472"/>
      <c r="B51" s="455" t="s">
        <v>115</v>
      </c>
      <c r="C51" s="166">
        <f t="shared" si="0"/>
        <v>18042.449999999997</v>
      </c>
      <c r="D51" s="166">
        <f t="shared" si="1"/>
        <v>15254.06</v>
      </c>
      <c r="E51" s="214">
        <v>4011.87</v>
      </c>
      <c r="F51" s="208">
        <v>4194.51</v>
      </c>
      <c r="G51" s="210">
        <v>6927.94</v>
      </c>
      <c r="H51" s="208">
        <v>119.74</v>
      </c>
      <c r="I51" s="210">
        <f t="shared" si="2"/>
        <v>368.23</v>
      </c>
      <c r="J51" s="208">
        <v>298.86</v>
      </c>
      <c r="K51" s="210">
        <v>69.37</v>
      </c>
      <c r="L51" s="215">
        <v>2420.16</v>
      </c>
      <c r="M51" s="120"/>
      <c r="N51" s="120"/>
    </row>
    <row r="52" spans="1:14" s="121" customFormat="1" ht="14.5">
      <c r="A52" s="473"/>
      <c r="B52" s="456" t="s">
        <v>116</v>
      </c>
      <c r="C52" s="168">
        <f t="shared" si="0"/>
        <v>18677.34</v>
      </c>
      <c r="D52" s="168">
        <f t="shared" si="1"/>
        <v>15617.6</v>
      </c>
      <c r="E52" s="216">
        <v>3975.32</v>
      </c>
      <c r="F52" s="213">
        <v>4264.07</v>
      </c>
      <c r="G52" s="212">
        <v>7255.67</v>
      </c>
      <c r="H52" s="213">
        <v>122.54</v>
      </c>
      <c r="I52" s="212">
        <f t="shared" si="2"/>
        <v>503.53999999999996</v>
      </c>
      <c r="J52" s="213">
        <v>350.59</v>
      </c>
      <c r="K52" s="212">
        <v>152.94999999999999</v>
      </c>
      <c r="L52" s="217">
        <v>2556.1999999999998</v>
      </c>
      <c r="M52" s="120"/>
      <c r="N52" s="120"/>
    </row>
    <row r="53" spans="1:14" s="121" customFormat="1" ht="14.5">
      <c r="A53" s="472">
        <v>2015</v>
      </c>
      <c r="B53" s="455" t="s">
        <v>105</v>
      </c>
      <c r="C53" s="166">
        <f t="shared" si="0"/>
        <v>17817.870000000003</v>
      </c>
      <c r="D53" s="166">
        <f t="shared" si="1"/>
        <v>14814.69</v>
      </c>
      <c r="E53" s="214">
        <v>3728.86</v>
      </c>
      <c r="F53" s="208">
        <v>4222.41</v>
      </c>
      <c r="G53" s="210">
        <v>6748.52</v>
      </c>
      <c r="H53" s="208">
        <v>114.9</v>
      </c>
      <c r="I53" s="210">
        <f t="shared" si="2"/>
        <v>476.79</v>
      </c>
      <c r="J53" s="208">
        <v>289.48</v>
      </c>
      <c r="K53" s="210">
        <v>187.31</v>
      </c>
      <c r="L53" s="229">
        <v>2526.39</v>
      </c>
      <c r="M53" s="120"/>
      <c r="N53" s="120"/>
    </row>
    <row r="54" spans="1:14" s="121" customFormat="1" ht="14.5">
      <c r="A54" s="472"/>
      <c r="B54" s="450" t="s">
        <v>106</v>
      </c>
      <c r="C54" s="166">
        <f t="shared" si="0"/>
        <v>17952.48</v>
      </c>
      <c r="D54" s="166">
        <f t="shared" si="1"/>
        <v>14919.59</v>
      </c>
      <c r="E54" s="214">
        <v>4267.3</v>
      </c>
      <c r="F54" s="210">
        <v>4260.6099999999997</v>
      </c>
      <c r="G54" s="210">
        <v>6272.16</v>
      </c>
      <c r="H54" s="218">
        <v>119.52</v>
      </c>
      <c r="I54" s="210">
        <f t="shared" si="2"/>
        <v>505.12</v>
      </c>
      <c r="J54" s="215">
        <v>331.6</v>
      </c>
      <c r="K54" s="210">
        <v>173.52</v>
      </c>
      <c r="L54" s="215">
        <v>2527.77</v>
      </c>
      <c r="M54" s="120"/>
      <c r="N54" s="120"/>
    </row>
    <row r="55" spans="1:14" s="121" customFormat="1" ht="14.5">
      <c r="A55" s="472"/>
      <c r="B55" s="450" t="s">
        <v>107</v>
      </c>
      <c r="C55" s="166">
        <f t="shared" si="0"/>
        <v>18274.229999999996</v>
      </c>
      <c r="D55" s="166">
        <f t="shared" si="1"/>
        <v>15148.069999999998</v>
      </c>
      <c r="E55" s="214">
        <v>4395.99</v>
      </c>
      <c r="F55" s="210">
        <v>4225.3100000000004</v>
      </c>
      <c r="G55" s="210">
        <v>6404.3</v>
      </c>
      <c r="H55" s="218">
        <v>122.47</v>
      </c>
      <c r="I55" s="210">
        <f t="shared" si="2"/>
        <v>627.47</v>
      </c>
      <c r="J55" s="208">
        <v>350.62</v>
      </c>
      <c r="K55" s="210">
        <v>276.85000000000002</v>
      </c>
      <c r="L55" s="210">
        <v>2498.69</v>
      </c>
      <c r="M55" s="120"/>
      <c r="N55" s="120"/>
    </row>
    <row r="56" spans="1:14" s="121" customFormat="1" ht="14.5">
      <c r="A56" s="472"/>
      <c r="B56" s="450" t="s">
        <v>108</v>
      </c>
      <c r="C56" s="166">
        <f t="shared" si="0"/>
        <v>17365.91</v>
      </c>
      <c r="D56" s="166">
        <f t="shared" si="1"/>
        <v>14449.67</v>
      </c>
      <c r="E56" s="214">
        <v>3806.98</v>
      </c>
      <c r="F56" s="210">
        <v>4201.3500000000004</v>
      </c>
      <c r="G56" s="210">
        <v>6322.92</v>
      </c>
      <c r="H56" s="218">
        <v>118.42</v>
      </c>
      <c r="I56" s="210">
        <f t="shared" si="2"/>
        <v>498.03</v>
      </c>
      <c r="J56" s="215">
        <v>286.11</v>
      </c>
      <c r="K56" s="210">
        <v>211.92</v>
      </c>
      <c r="L56" s="210">
        <v>2418.21</v>
      </c>
      <c r="M56" s="120"/>
      <c r="N56" s="120"/>
    </row>
    <row r="57" spans="1:14" s="121" customFormat="1" ht="14.5">
      <c r="A57" s="472"/>
      <c r="B57" s="450" t="s">
        <v>109</v>
      </c>
      <c r="C57" s="166">
        <f t="shared" si="0"/>
        <v>17193.900000000001</v>
      </c>
      <c r="D57" s="166">
        <f t="shared" si="1"/>
        <v>14299.650000000001</v>
      </c>
      <c r="E57" s="214">
        <v>3855.47</v>
      </c>
      <c r="F57" s="210">
        <v>4182.1000000000004</v>
      </c>
      <c r="G57" s="210">
        <v>6143.06</v>
      </c>
      <c r="H57" s="218">
        <v>119.02</v>
      </c>
      <c r="I57" s="210">
        <f t="shared" si="2"/>
        <v>413.41999999999996</v>
      </c>
      <c r="J57" s="215">
        <v>266.69</v>
      </c>
      <c r="K57" s="210">
        <v>146.72999999999999</v>
      </c>
      <c r="L57" s="210">
        <v>2480.83</v>
      </c>
      <c r="M57" s="120"/>
      <c r="N57" s="120"/>
    </row>
    <row r="58" spans="1:14" s="121" customFormat="1" ht="14.5">
      <c r="A58" s="472"/>
      <c r="B58" s="450" t="s">
        <v>110</v>
      </c>
      <c r="C58" s="166">
        <f t="shared" si="0"/>
        <v>17539.140000000003</v>
      </c>
      <c r="D58" s="166">
        <f t="shared" si="1"/>
        <v>14611.660000000002</v>
      </c>
      <c r="E58" s="214">
        <v>4680.8900000000003</v>
      </c>
      <c r="F58" s="210">
        <v>4192.7</v>
      </c>
      <c r="G58" s="210">
        <v>5621.38</v>
      </c>
      <c r="H58" s="218">
        <v>116.69</v>
      </c>
      <c r="I58" s="210">
        <f t="shared" si="2"/>
        <v>422.40999999999997</v>
      </c>
      <c r="J58" s="215">
        <v>264.95999999999998</v>
      </c>
      <c r="K58" s="210">
        <v>157.44999999999999</v>
      </c>
      <c r="L58" s="210">
        <v>2505.0700000000002</v>
      </c>
      <c r="M58" s="120"/>
      <c r="N58" s="120"/>
    </row>
    <row r="59" spans="1:14" s="121" customFormat="1" ht="14.5">
      <c r="A59" s="472"/>
      <c r="B59" s="450" t="s">
        <v>117</v>
      </c>
      <c r="C59" s="166">
        <f t="shared" si="0"/>
        <v>17277.53</v>
      </c>
      <c r="D59" s="166">
        <f t="shared" si="1"/>
        <v>14373.699999999999</v>
      </c>
      <c r="E59" s="214">
        <v>3919.99</v>
      </c>
      <c r="F59" s="210">
        <v>4175.41</v>
      </c>
      <c r="G59" s="210">
        <v>6154.11</v>
      </c>
      <c r="H59" s="218">
        <v>124.19</v>
      </c>
      <c r="I59" s="210">
        <f t="shared" si="2"/>
        <v>357.06000000000006</v>
      </c>
      <c r="J59" s="215">
        <v>277.97000000000003</v>
      </c>
      <c r="K59" s="210">
        <v>79.09</v>
      </c>
      <c r="L59" s="210">
        <v>2546.77</v>
      </c>
      <c r="M59" s="120"/>
      <c r="N59" s="120"/>
    </row>
    <row r="60" spans="1:14" s="121" customFormat="1" ht="14.5">
      <c r="A60" s="472"/>
      <c r="B60" s="450" t="s">
        <v>112</v>
      </c>
      <c r="C60" s="166">
        <f t="shared" si="0"/>
        <v>17089.8</v>
      </c>
      <c r="D60" s="166">
        <f t="shared" si="1"/>
        <v>14136.220000000001</v>
      </c>
      <c r="E60" s="214">
        <v>3837.54</v>
      </c>
      <c r="F60" s="210">
        <v>4139.8100000000004</v>
      </c>
      <c r="G60" s="210">
        <v>6031.33</v>
      </c>
      <c r="H60" s="218">
        <v>127.54</v>
      </c>
      <c r="I60" s="210">
        <f t="shared" si="2"/>
        <v>365.48</v>
      </c>
      <c r="J60" s="215">
        <v>264.01</v>
      </c>
      <c r="K60" s="210">
        <v>101.47</v>
      </c>
      <c r="L60" s="210">
        <v>2588.1</v>
      </c>
      <c r="M60" s="120"/>
      <c r="N60" s="120"/>
    </row>
    <row r="61" spans="1:14" s="121" customFormat="1" ht="14.5">
      <c r="A61" s="472"/>
      <c r="B61" s="450" t="s">
        <v>113</v>
      </c>
      <c r="C61" s="166">
        <f t="shared" si="0"/>
        <v>17814.230000000003</v>
      </c>
      <c r="D61" s="166">
        <f t="shared" si="1"/>
        <v>14826.840000000002</v>
      </c>
      <c r="E61" s="214">
        <v>4680.53</v>
      </c>
      <c r="F61" s="210">
        <v>4154.76</v>
      </c>
      <c r="G61" s="210">
        <v>5871.1</v>
      </c>
      <c r="H61" s="218">
        <v>120.45</v>
      </c>
      <c r="I61" s="210">
        <f t="shared" si="2"/>
        <v>439.79</v>
      </c>
      <c r="J61" s="215">
        <v>286.17</v>
      </c>
      <c r="K61" s="210">
        <v>153.62</v>
      </c>
      <c r="L61" s="210">
        <v>2547.6</v>
      </c>
      <c r="M61" s="120"/>
      <c r="N61" s="120"/>
    </row>
    <row r="62" spans="1:14" s="121" customFormat="1" ht="14.5">
      <c r="A62" s="472"/>
      <c r="B62" s="450" t="s">
        <v>114</v>
      </c>
      <c r="C62" s="166">
        <f t="shared" si="0"/>
        <v>17301.309999999998</v>
      </c>
      <c r="D62" s="166">
        <f t="shared" si="1"/>
        <v>14454.96</v>
      </c>
      <c r="E62" s="214">
        <v>3903.82</v>
      </c>
      <c r="F62" s="214">
        <v>4077.85</v>
      </c>
      <c r="G62" s="214">
        <v>6354.38</v>
      </c>
      <c r="H62" s="219">
        <v>118.91</v>
      </c>
      <c r="I62" s="210">
        <f t="shared" si="2"/>
        <v>316.49</v>
      </c>
      <c r="J62" s="220">
        <v>230.01</v>
      </c>
      <c r="K62" s="214">
        <v>86.48</v>
      </c>
      <c r="L62" s="214">
        <v>2529.86</v>
      </c>
      <c r="M62" s="120"/>
      <c r="N62" s="120"/>
    </row>
    <row r="63" spans="1:14" s="121" customFormat="1" ht="14.5">
      <c r="A63" s="472"/>
      <c r="B63" s="450" t="s">
        <v>115</v>
      </c>
      <c r="C63" s="166">
        <f t="shared" si="0"/>
        <v>16837.349999999999</v>
      </c>
      <c r="D63" s="166">
        <f t="shared" si="1"/>
        <v>13937.22</v>
      </c>
      <c r="E63" s="214">
        <v>3670.16</v>
      </c>
      <c r="F63" s="214">
        <v>4080.94</v>
      </c>
      <c r="G63" s="214">
        <v>6067.54</v>
      </c>
      <c r="H63" s="219">
        <v>118.58</v>
      </c>
      <c r="I63" s="210">
        <f t="shared" si="2"/>
        <v>342.07000000000005</v>
      </c>
      <c r="J63" s="220">
        <v>268.16000000000003</v>
      </c>
      <c r="K63" s="214">
        <v>73.91</v>
      </c>
      <c r="L63" s="214">
        <v>2558.06</v>
      </c>
      <c r="M63" s="120"/>
      <c r="N63" s="120"/>
    </row>
    <row r="64" spans="1:14" s="121" customFormat="1" ht="14.5">
      <c r="A64" s="473"/>
      <c r="B64" s="452" t="s">
        <v>116</v>
      </c>
      <c r="C64" s="168">
        <f t="shared" si="0"/>
        <v>17040.919999999998</v>
      </c>
      <c r="D64" s="168">
        <f t="shared" si="1"/>
        <v>13958.62</v>
      </c>
      <c r="E64" s="216">
        <v>4157.46</v>
      </c>
      <c r="F64" s="216">
        <v>4180.3999999999996</v>
      </c>
      <c r="G64" s="216">
        <v>5498.86</v>
      </c>
      <c r="H64" s="221">
        <v>121.9</v>
      </c>
      <c r="I64" s="212">
        <f t="shared" si="2"/>
        <v>496.56</v>
      </c>
      <c r="J64" s="222">
        <v>242.98</v>
      </c>
      <c r="K64" s="216">
        <v>253.58</v>
      </c>
      <c r="L64" s="216">
        <v>2585.7399999999998</v>
      </c>
      <c r="M64" s="120"/>
      <c r="N64" s="120"/>
    </row>
    <row r="65" spans="1:14" s="121" customFormat="1" ht="14.5">
      <c r="A65" s="471">
        <v>2016</v>
      </c>
      <c r="B65" s="454" t="s">
        <v>105</v>
      </c>
      <c r="C65" s="166">
        <f t="shared" si="0"/>
        <v>16750.689999999999</v>
      </c>
      <c r="D65" s="166">
        <f t="shared" si="1"/>
        <v>13868.96</v>
      </c>
      <c r="E65" s="227">
        <v>3791.38</v>
      </c>
      <c r="F65" s="228">
        <v>4114.53</v>
      </c>
      <c r="G65" s="227">
        <v>5843.15</v>
      </c>
      <c r="H65" s="228">
        <v>119.9</v>
      </c>
      <c r="I65" s="210">
        <f t="shared" si="2"/>
        <v>331.78999999999996</v>
      </c>
      <c r="J65" s="228">
        <v>165.82</v>
      </c>
      <c r="K65" s="227">
        <v>165.97</v>
      </c>
      <c r="L65" s="230">
        <v>2549.94</v>
      </c>
      <c r="M65" s="120"/>
      <c r="N65" s="120"/>
    </row>
    <row r="66" spans="1:14" s="121" customFormat="1" ht="14.5">
      <c r="A66" s="472"/>
      <c r="B66" s="455" t="s">
        <v>106</v>
      </c>
      <c r="C66" s="166">
        <f t="shared" si="0"/>
        <v>16806.649999999998</v>
      </c>
      <c r="D66" s="166">
        <f t="shared" si="1"/>
        <v>13843.309999999998</v>
      </c>
      <c r="E66" s="214">
        <v>3576.43</v>
      </c>
      <c r="F66" s="209">
        <v>4132.54</v>
      </c>
      <c r="G66" s="214">
        <v>6011.63</v>
      </c>
      <c r="H66" s="209">
        <v>122.71</v>
      </c>
      <c r="I66" s="210">
        <f t="shared" si="2"/>
        <v>407.74</v>
      </c>
      <c r="J66" s="209">
        <v>197.54</v>
      </c>
      <c r="K66" s="214">
        <v>210.2</v>
      </c>
      <c r="L66" s="220">
        <v>2555.6</v>
      </c>
      <c r="M66" s="120"/>
      <c r="N66" s="120"/>
    </row>
    <row r="67" spans="1:14" s="121" customFormat="1" ht="14.5">
      <c r="A67" s="472"/>
      <c r="B67" s="450" t="s">
        <v>107</v>
      </c>
      <c r="C67" s="166">
        <f t="shared" si="0"/>
        <v>17320.830000000002</v>
      </c>
      <c r="D67" s="166">
        <f t="shared" si="1"/>
        <v>14384.220000000001</v>
      </c>
      <c r="E67" s="214">
        <v>4408.96</v>
      </c>
      <c r="F67" s="209">
        <v>4122.01</v>
      </c>
      <c r="G67" s="214">
        <v>5732.79</v>
      </c>
      <c r="H67" s="209">
        <v>120.46</v>
      </c>
      <c r="I67" s="210">
        <f t="shared" si="2"/>
        <v>404.78999999999996</v>
      </c>
      <c r="J67" s="209">
        <v>260.13</v>
      </c>
      <c r="K67" s="214">
        <v>144.66</v>
      </c>
      <c r="L67" s="220">
        <v>2531.8200000000002</v>
      </c>
      <c r="M67" s="120"/>
      <c r="N67" s="120"/>
    </row>
    <row r="68" spans="1:14" s="121" customFormat="1" ht="14.5">
      <c r="A68" s="472"/>
      <c r="B68" s="455" t="s">
        <v>108</v>
      </c>
      <c r="C68" s="166">
        <f t="shared" si="0"/>
        <v>16872.580000000002</v>
      </c>
      <c r="D68" s="166">
        <f t="shared" si="1"/>
        <v>13961.390000000001</v>
      </c>
      <c r="E68" s="214">
        <v>3716.76</v>
      </c>
      <c r="F68" s="209">
        <v>4047.11</v>
      </c>
      <c r="G68" s="214">
        <v>6056.83</v>
      </c>
      <c r="H68" s="209">
        <v>140.69</v>
      </c>
      <c r="I68" s="210">
        <f t="shared" si="2"/>
        <v>332.46999999999997</v>
      </c>
      <c r="J68" s="209">
        <v>263.27999999999997</v>
      </c>
      <c r="K68" s="214">
        <v>69.19</v>
      </c>
      <c r="L68" s="220">
        <v>2578.7199999999998</v>
      </c>
      <c r="M68" s="120"/>
      <c r="N68" s="120"/>
    </row>
    <row r="69" spans="1:14" s="121" customFormat="1" ht="14.5">
      <c r="A69" s="472"/>
      <c r="B69" s="455" t="s">
        <v>109</v>
      </c>
      <c r="C69" s="166">
        <f t="shared" si="0"/>
        <v>16720.609999999997</v>
      </c>
      <c r="D69" s="166">
        <f t="shared" si="1"/>
        <v>13763.929999999998</v>
      </c>
      <c r="E69" s="214">
        <v>3873.73</v>
      </c>
      <c r="F69" s="209">
        <v>4047.74</v>
      </c>
      <c r="G69" s="214">
        <v>5700.31</v>
      </c>
      <c r="H69" s="209">
        <v>142.15</v>
      </c>
      <c r="I69" s="210">
        <f t="shared" si="2"/>
        <v>340.21</v>
      </c>
      <c r="J69" s="209">
        <v>239.19</v>
      </c>
      <c r="K69" s="214">
        <v>101.02</v>
      </c>
      <c r="L69" s="220">
        <v>2616.4699999999998</v>
      </c>
      <c r="M69" s="120"/>
      <c r="N69" s="120"/>
    </row>
    <row r="70" spans="1:14" s="121" customFormat="1" ht="14.5">
      <c r="A70" s="472"/>
      <c r="B70" s="455" t="s">
        <v>110</v>
      </c>
      <c r="C70" s="166">
        <f t="shared" si="0"/>
        <v>17249.740000000002</v>
      </c>
      <c r="D70" s="166">
        <f t="shared" si="1"/>
        <v>14192.050000000001</v>
      </c>
      <c r="E70" s="214">
        <v>4149.1000000000004</v>
      </c>
      <c r="F70" s="209">
        <v>3993.11</v>
      </c>
      <c r="G70" s="214">
        <v>5907.5</v>
      </c>
      <c r="H70" s="209">
        <v>142.34</v>
      </c>
      <c r="I70" s="210">
        <f t="shared" si="2"/>
        <v>382.08</v>
      </c>
      <c r="J70" s="209">
        <v>216.95</v>
      </c>
      <c r="K70" s="214">
        <v>165.13</v>
      </c>
      <c r="L70" s="220">
        <v>2675.61</v>
      </c>
      <c r="M70" s="120"/>
      <c r="N70" s="120"/>
    </row>
    <row r="71" spans="1:14" s="121" customFormat="1" ht="14.5">
      <c r="A71" s="472"/>
      <c r="B71" s="455" t="s">
        <v>117</v>
      </c>
      <c r="C71" s="166">
        <f t="shared" ref="C71:C81" si="3">D71+I71+L71</f>
        <v>17171.73</v>
      </c>
      <c r="D71" s="166">
        <f t="shared" ref="D71:D81" si="4">E71+F71+G71+H71</f>
        <v>13998.13</v>
      </c>
      <c r="E71" s="214">
        <v>3938.33</v>
      </c>
      <c r="F71" s="209">
        <v>4020.33</v>
      </c>
      <c r="G71" s="214">
        <v>5894.73</v>
      </c>
      <c r="H71" s="209">
        <v>144.74</v>
      </c>
      <c r="I71" s="210">
        <f t="shared" ref="I71:I81" si="5">J71+K71</f>
        <v>519.34</v>
      </c>
      <c r="J71" s="209">
        <v>217.1</v>
      </c>
      <c r="K71" s="214">
        <v>302.24</v>
      </c>
      <c r="L71" s="220">
        <v>2654.26</v>
      </c>
      <c r="M71" s="120"/>
      <c r="N71" s="120"/>
    </row>
    <row r="72" spans="1:14" s="121" customFormat="1" ht="14.5">
      <c r="A72" s="472"/>
      <c r="B72" s="455" t="s">
        <v>112</v>
      </c>
      <c r="C72" s="166">
        <f t="shared" si="3"/>
        <v>18379.530000000002</v>
      </c>
      <c r="D72" s="166">
        <f t="shared" si="4"/>
        <v>15075.460000000001</v>
      </c>
      <c r="E72" s="214">
        <v>3827.92</v>
      </c>
      <c r="F72" s="209">
        <v>3971.13</v>
      </c>
      <c r="G72" s="214">
        <v>7149.49</v>
      </c>
      <c r="H72" s="209">
        <v>126.92</v>
      </c>
      <c r="I72" s="210">
        <f t="shared" si="5"/>
        <v>637.75</v>
      </c>
      <c r="J72" s="209">
        <v>173.81</v>
      </c>
      <c r="K72" s="214">
        <v>463.94</v>
      </c>
      <c r="L72" s="220">
        <v>2666.32</v>
      </c>
      <c r="M72" s="120"/>
      <c r="N72" s="120"/>
    </row>
    <row r="73" spans="1:14" s="121" customFormat="1" ht="14.5">
      <c r="A73" s="472"/>
      <c r="B73" s="455" t="s">
        <v>113</v>
      </c>
      <c r="C73" s="166">
        <f t="shared" si="3"/>
        <v>18984.86</v>
      </c>
      <c r="D73" s="166">
        <f t="shared" si="4"/>
        <v>15459.73</v>
      </c>
      <c r="E73" s="214">
        <v>3908.01</v>
      </c>
      <c r="F73" s="209">
        <v>3927.66</v>
      </c>
      <c r="G73" s="214">
        <v>7492.47</v>
      </c>
      <c r="H73" s="209">
        <v>131.59</v>
      </c>
      <c r="I73" s="210">
        <f t="shared" si="5"/>
        <v>784.69999999999993</v>
      </c>
      <c r="J73" s="209">
        <v>179.03</v>
      </c>
      <c r="K73" s="214">
        <v>605.66999999999996</v>
      </c>
      <c r="L73" s="220">
        <v>2740.43</v>
      </c>
      <c r="M73" s="120"/>
      <c r="N73" s="120"/>
    </row>
    <row r="74" spans="1:14" s="121" customFormat="1" ht="14.5">
      <c r="A74" s="472"/>
      <c r="B74" s="455" t="s">
        <v>114</v>
      </c>
      <c r="C74" s="166">
        <f t="shared" si="3"/>
        <v>17821.98</v>
      </c>
      <c r="D74" s="166">
        <f t="shared" si="4"/>
        <v>14859.529999999999</v>
      </c>
      <c r="E74" s="214">
        <v>3737.77</v>
      </c>
      <c r="F74" s="209">
        <v>3919.15</v>
      </c>
      <c r="G74" s="214">
        <v>7075.97</v>
      </c>
      <c r="H74" s="209">
        <v>126.64</v>
      </c>
      <c r="I74" s="210">
        <f t="shared" si="5"/>
        <v>303.49</v>
      </c>
      <c r="J74" s="209">
        <v>256.38</v>
      </c>
      <c r="K74" s="214">
        <v>47.11</v>
      </c>
      <c r="L74" s="220">
        <v>2658.96</v>
      </c>
      <c r="M74" s="120"/>
      <c r="N74" s="120"/>
    </row>
    <row r="75" spans="1:14" s="121" customFormat="1" ht="14.5">
      <c r="A75" s="472"/>
      <c r="B75" s="455" t="s">
        <v>115</v>
      </c>
      <c r="C75" s="166">
        <f t="shared" si="3"/>
        <v>17292.830000000002</v>
      </c>
      <c r="D75" s="166">
        <f t="shared" si="4"/>
        <v>14257.89</v>
      </c>
      <c r="E75" s="214">
        <v>3819.01</v>
      </c>
      <c r="F75" s="209">
        <v>3876.97</v>
      </c>
      <c r="G75" s="214">
        <v>6451.59</v>
      </c>
      <c r="H75" s="209">
        <v>110.32</v>
      </c>
      <c r="I75" s="210">
        <f t="shared" si="5"/>
        <v>324.62</v>
      </c>
      <c r="J75" s="209">
        <v>219.97</v>
      </c>
      <c r="K75" s="214">
        <v>104.65</v>
      </c>
      <c r="L75" s="220">
        <v>2710.32</v>
      </c>
      <c r="M75" s="120"/>
      <c r="N75" s="120"/>
    </row>
    <row r="76" spans="1:14" s="121" customFormat="1" ht="14.5">
      <c r="A76" s="473"/>
      <c r="B76" s="452" t="s">
        <v>116</v>
      </c>
      <c r="C76" s="168">
        <f t="shared" si="3"/>
        <v>17952.55</v>
      </c>
      <c r="D76" s="168">
        <f t="shared" si="4"/>
        <v>14895.39</v>
      </c>
      <c r="E76" s="216">
        <v>3944.7</v>
      </c>
      <c r="F76" s="211">
        <v>3927.91</v>
      </c>
      <c r="G76" s="216">
        <v>6920.58</v>
      </c>
      <c r="H76" s="211">
        <v>102.2</v>
      </c>
      <c r="I76" s="212">
        <f t="shared" si="5"/>
        <v>286.14999999999998</v>
      </c>
      <c r="J76" s="211">
        <v>148.72999999999999</v>
      </c>
      <c r="K76" s="216">
        <v>137.41999999999999</v>
      </c>
      <c r="L76" s="222">
        <v>2771.01</v>
      </c>
      <c r="M76" s="120"/>
      <c r="N76" s="120"/>
    </row>
    <row r="77" spans="1:14" s="121" customFormat="1" ht="14.5">
      <c r="A77" s="471">
        <v>2017</v>
      </c>
      <c r="B77" s="454" t="s">
        <v>105</v>
      </c>
      <c r="C77" s="166">
        <f t="shared" si="3"/>
        <v>17162.810000000001</v>
      </c>
      <c r="D77" s="166">
        <f t="shared" si="4"/>
        <v>14199.39</v>
      </c>
      <c r="E77" s="227">
        <v>3699.38</v>
      </c>
      <c r="F77" s="228">
        <v>3863.26</v>
      </c>
      <c r="G77" s="227">
        <v>6527.91</v>
      </c>
      <c r="H77" s="228">
        <v>108.84</v>
      </c>
      <c r="I77" s="210">
        <f t="shared" si="5"/>
        <v>284.78999999999996</v>
      </c>
      <c r="J77" s="228">
        <v>152.51</v>
      </c>
      <c r="K77" s="227">
        <v>132.28</v>
      </c>
      <c r="L77" s="230">
        <v>2678.63</v>
      </c>
      <c r="M77" s="120"/>
      <c r="N77" s="120"/>
    </row>
    <row r="78" spans="1:14" s="121" customFormat="1" ht="14.5">
      <c r="A78" s="472"/>
      <c r="B78" s="455" t="s">
        <v>106</v>
      </c>
      <c r="C78" s="166">
        <f t="shared" si="3"/>
        <v>16975.580000000002</v>
      </c>
      <c r="D78" s="166">
        <f t="shared" si="4"/>
        <v>14008.82</v>
      </c>
      <c r="E78" s="214">
        <v>3666.29</v>
      </c>
      <c r="F78" s="209">
        <v>3912.41</v>
      </c>
      <c r="G78" s="214">
        <v>6321.47</v>
      </c>
      <c r="H78" s="209">
        <v>108.65</v>
      </c>
      <c r="I78" s="210">
        <f t="shared" si="5"/>
        <v>288.51</v>
      </c>
      <c r="J78" s="209">
        <v>185.06</v>
      </c>
      <c r="K78" s="214">
        <v>103.45</v>
      </c>
      <c r="L78" s="220">
        <v>2678.25</v>
      </c>
      <c r="M78" s="120"/>
      <c r="N78" s="120"/>
    </row>
    <row r="79" spans="1:14" s="121" customFormat="1" ht="14.5">
      <c r="A79" s="472"/>
      <c r="B79" s="450" t="s">
        <v>107</v>
      </c>
      <c r="C79" s="166">
        <f t="shared" si="3"/>
        <v>16962.13</v>
      </c>
      <c r="D79" s="166">
        <f t="shared" si="4"/>
        <v>14004.910000000002</v>
      </c>
      <c r="E79" s="214">
        <v>4459.3900000000003</v>
      </c>
      <c r="F79" s="209">
        <v>3954.97</v>
      </c>
      <c r="G79" s="214">
        <v>5479.04</v>
      </c>
      <c r="H79" s="209">
        <v>111.51</v>
      </c>
      <c r="I79" s="210">
        <f t="shared" si="5"/>
        <v>333.84000000000003</v>
      </c>
      <c r="J79" s="209">
        <v>236.41</v>
      </c>
      <c r="K79" s="214">
        <v>97.43</v>
      </c>
      <c r="L79" s="220">
        <v>2623.38</v>
      </c>
      <c r="M79" s="120"/>
      <c r="N79" s="120"/>
    </row>
    <row r="80" spans="1:14" s="121" customFormat="1" ht="14.5">
      <c r="A80" s="472"/>
      <c r="B80" s="455" t="s">
        <v>108</v>
      </c>
      <c r="C80" s="166">
        <f t="shared" si="3"/>
        <v>17157.18</v>
      </c>
      <c r="D80" s="166">
        <f t="shared" si="4"/>
        <v>14216.199999999999</v>
      </c>
      <c r="E80" s="214">
        <v>3799.47</v>
      </c>
      <c r="F80" s="209">
        <v>3939.98</v>
      </c>
      <c r="G80" s="214">
        <v>6344.4</v>
      </c>
      <c r="H80" s="209">
        <v>132.35</v>
      </c>
      <c r="I80" s="210">
        <f t="shared" si="5"/>
        <v>293.31</v>
      </c>
      <c r="J80" s="209">
        <v>216.77</v>
      </c>
      <c r="K80" s="214">
        <v>76.540000000000006</v>
      </c>
      <c r="L80" s="220">
        <v>2647.67</v>
      </c>
      <c r="M80" s="120"/>
      <c r="N80" s="120"/>
    </row>
    <row r="81" spans="1:14" s="121" customFormat="1" ht="14.5">
      <c r="A81" s="472"/>
      <c r="B81" s="455" t="s">
        <v>109</v>
      </c>
      <c r="C81" s="166">
        <f t="shared" si="3"/>
        <v>16839.97</v>
      </c>
      <c r="D81" s="166">
        <f t="shared" si="4"/>
        <v>13816.2</v>
      </c>
      <c r="E81" s="214">
        <v>3500.24</v>
      </c>
      <c r="F81" s="209">
        <v>3980.64</v>
      </c>
      <c r="G81" s="214">
        <v>6224.53</v>
      </c>
      <c r="H81" s="209">
        <v>110.79</v>
      </c>
      <c r="I81" s="210">
        <f t="shared" si="5"/>
        <v>288.21999999999997</v>
      </c>
      <c r="J81" s="209">
        <v>217.98</v>
      </c>
      <c r="K81" s="214">
        <v>70.239999999999995</v>
      </c>
      <c r="L81" s="220">
        <v>2735.55</v>
      </c>
      <c r="M81" s="120"/>
      <c r="N81" s="120"/>
    </row>
    <row r="82" spans="1:14" s="121" customFormat="1" ht="14.5">
      <c r="A82" s="472"/>
      <c r="B82" s="450" t="s">
        <v>110</v>
      </c>
      <c r="C82" s="166">
        <f t="shared" ref="C82:C114" si="6">D82+I82+L82</f>
        <v>17304.79</v>
      </c>
      <c r="D82" s="166">
        <f t="shared" ref="D82:D114" si="7">E82+F82+G82+H82</f>
        <v>14260.46</v>
      </c>
      <c r="E82" s="214">
        <v>4144.03</v>
      </c>
      <c r="F82" s="209">
        <v>3964.79</v>
      </c>
      <c r="G82" s="214">
        <v>6037.46</v>
      </c>
      <c r="H82" s="209">
        <v>114.18</v>
      </c>
      <c r="I82" s="210">
        <f t="shared" ref="I82:I146" si="8">J82+K82</f>
        <v>282.5</v>
      </c>
      <c r="J82" s="209">
        <v>186.41</v>
      </c>
      <c r="K82" s="214">
        <v>96.09</v>
      </c>
      <c r="L82" s="220">
        <v>2761.83</v>
      </c>
      <c r="M82" s="120"/>
      <c r="N82" s="120"/>
    </row>
    <row r="83" spans="1:14" s="121" customFormat="1" ht="14.5">
      <c r="A83" s="472"/>
      <c r="B83" s="455" t="s">
        <v>117</v>
      </c>
      <c r="C83" s="166">
        <f t="shared" si="6"/>
        <v>16716.120000000003</v>
      </c>
      <c r="D83" s="166">
        <f t="shared" si="7"/>
        <v>13797.12</v>
      </c>
      <c r="E83" s="214">
        <v>3576.03</v>
      </c>
      <c r="F83" s="209">
        <v>3958.61</v>
      </c>
      <c r="G83" s="214">
        <v>6148.89</v>
      </c>
      <c r="H83" s="209">
        <v>113.59</v>
      </c>
      <c r="I83" s="210">
        <f t="shared" si="8"/>
        <v>258.77999999999997</v>
      </c>
      <c r="J83" s="209">
        <v>191.32</v>
      </c>
      <c r="K83" s="214">
        <v>67.459999999999994</v>
      </c>
      <c r="L83" s="220">
        <v>2660.22</v>
      </c>
      <c r="M83" s="120"/>
      <c r="N83" s="120"/>
    </row>
    <row r="84" spans="1:14" s="121" customFormat="1" ht="14.5">
      <c r="A84" s="472"/>
      <c r="B84" s="455" t="s">
        <v>112</v>
      </c>
      <c r="C84" s="166">
        <f t="shared" si="6"/>
        <v>16813.830000000002</v>
      </c>
      <c r="D84" s="166">
        <f t="shared" si="7"/>
        <v>13904.27</v>
      </c>
      <c r="E84" s="214">
        <v>3682.02</v>
      </c>
      <c r="F84" s="209">
        <v>3968.92</v>
      </c>
      <c r="G84" s="214">
        <v>6136.23</v>
      </c>
      <c r="H84" s="209">
        <v>117.1</v>
      </c>
      <c r="I84" s="210">
        <f t="shared" si="8"/>
        <v>299.02</v>
      </c>
      <c r="J84" s="209">
        <v>219.76</v>
      </c>
      <c r="K84" s="214">
        <v>79.260000000000005</v>
      </c>
      <c r="L84" s="220">
        <v>2610.54</v>
      </c>
      <c r="M84" s="120"/>
      <c r="N84" s="120"/>
    </row>
    <row r="85" spans="1:14" s="121" customFormat="1" ht="14.5">
      <c r="A85" s="472"/>
      <c r="B85" s="455" t="s">
        <v>113</v>
      </c>
      <c r="C85" s="166">
        <f t="shared" si="6"/>
        <v>17368.810000000001</v>
      </c>
      <c r="D85" s="166">
        <f t="shared" si="7"/>
        <v>14503.150000000001</v>
      </c>
      <c r="E85" s="214">
        <v>3757.38</v>
      </c>
      <c r="F85" s="209">
        <v>3952.24</v>
      </c>
      <c r="G85" s="214">
        <v>6675.1</v>
      </c>
      <c r="H85" s="209">
        <v>118.43</v>
      </c>
      <c r="I85" s="210">
        <f t="shared" si="8"/>
        <v>233.4</v>
      </c>
      <c r="J85" s="209">
        <v>146.18</v>
      </c>
      <c r="K85" s="214">
        <v>87.22</v>
      </c>
      <c r="L85" s="220">
        <v>2632.26</v>
      </c>
      <c r="M85" s="120"/>
      <c r="N85" s="120"/>
    </row>
    <row r="86" spans="1:14" s="121" customFormat="1" ht="14.5">
      <c r="A86" s="472"/>
      <c r="B86" s="455" t="s">
        <v>114</v>
      </c>
      <c r="C86" s="166">
        <f t="shared" si="6"/>
        <v>17112.41</v>
      </c>
      <c r="D86" s="166">
        <f t="shared" si="7"/>
        <v>14426.1</v>
      </c>
      <c r="E86" s="214">
        <v>3736.46</v>
      </c>
      <c r="F86" s="209">
        <v>3950</v>
      </c>
      <c r="G86" s="214">
        <v>6635.22</v>
      </c>
      <c r="H86" s="209">
        <v>104.42</v>
      </c>
      <c r="I86" s="210">
        <f t="shared" si="8"/>
        <v>223.27</v>
      </c>
      <c r="J86" s="209">
        <v>157.93</v>
      </c>
      <c r="K86" s="214">
        <v>65.34</v>
      </c>
      <c r="L86" s="220">
        <v>2463.04</v>
      </c>
      <c r="M86" s="120"/>
      <c r="N86" s="120"/>
    </row>
    <row r="87" spans="1:14" s="121" customFormat="1" ht="14.5">
      <c r="A87" s="472"/>
      <c r="B87" s="455" t="s">
        <v>115</v>
      </c>
      <c r="C87" s="223">
        <f t="shared" si="6"/>
        <v>16785.78</v>
      </c>
      <c r="D87" s="223">
        <f t="shared" si="7"/>
        <v>14175.18</v>
      </c>
      <c r="E87" s="223">
        <v>3751.48</v>
      </c>
      <c r="F87" s="224">
        <v>3956.45</v>
      </c>
      <c r="G87" s="223">
        <v>6362.9</v>
      </c>
      <c r="H87" s="224">
        <v>104.35</v>
      </c>
      <c r="I87" s="225">
        <f t="shared" si="8"/>
        <v>189.26000000000002</v>
      </c>
      <c r="J87" s="224">
        <v>133.80000000000001</v>
      </c>
      <c r="K87" s="223">
        <v>55.46</v>
      </c>
      <c r="L87" s="226">
        <v>2421.34</v>
      </c>
      <c r="M87" s="120"/>
      <c r="N87" s="120"/>
    </row>
    <row r="88" spans="1:14" s="121" customFormat="1" ht="14.5">
      <c r="A88" s="473"/>
      <c r="B88" s="452" t="s">
        <v>116</v>
      </c>
      <c r="C88" s="168">
        <f t="shared" si="6"/>
        <v>17484.060000000001</v>
      </c>
      <c r="D88" s="168">
        <f t="shared" si="7"/>
        <v>14713.18</v>
      </c>
      <c r="E88" s="216">
        <v>3660.57</v>
      </c>
      <c r="F88" s="211">
        <v>4083.89</v>
      </c>
      <c r="G88" s="216">
        <v>6849.92</v>
      </c>
      <c r="H88" s="211">
        <v>118.8</v>
      </c>
      <c r="I88" s="212">
        <f t="shared" si="8"/>
        <v>514.85</v>
      </c>
      <c r="J88" s="211">
        <v>132.81</v>
      </c>
      <c r="K88" s="216">
        <v>382.04</v>
      </c>
      <c r="L88" s="222">
        <v>2256.0300000000002</v>
      </c>
      <c r="M88" s="120"/>
      <c r="N88" s="120"/>
    </row>
    <row r="89" spans="1:14" s="121" customFormat="1" ht="14.5">
      <c r="A89" s="471">
        <v>2018</v>
      </c>
      <c r="B89" s="454" t="s">
        <v>105</v>
      </c>
      <c r="C89" s="170">
        <f t="shared" si="6"/>
        <v>16935.73</v>
      </c>
      <c r="D89" s="170">
        <f t="shared" si="7"/>
        <v>14341.91</v>
      </c>
      <c r="E89" s="227">
        <v>3571.22</v>
      </c>
      <c r="F89" s="228">
        <v>4021.2</v>
      </c>
      <c r="G89" s="227">
        <v>6618.82</v>
      </c>
      <c r="H89" s="228">
        <v>130.66999999999999</v>
      </c>
      <c r="I89" s="229">
        <f t="shared" si="8"/>
        <v>333.77</v>
      </c>
      <c r="J89" s="228">
        <v>191.66</v>
      </c>
      <c r="K89" s="227">
        <v>142.11000000000001</v>
      </c>
      <c r="L89" s="230">
        <v>2260.0500000000002</v>
      </c>
      <c r="M89" s="120"/>
      <c r="N89" s="120"/>
    </row>
    <row r="90" spans="1:14" s="121" customFormat="1" ht="14.5">
      <c r="A90" s="472"/>
      <c r="B90" s="455" t="s">
        <v>106</v>
      </c>
      <c r="C90" s="166">
        <f t="shared" si="6"/>
        <v>16675.21</v>
      </c>
      <c r="D90" s="166">
        <f t="shared" si="7"/>
        <v>14013.429999999998</v>
      </c>
      <c r="E90" s="214">
        <v>3521.72</v>
      </c>
      <c r="F90" s="209">
        <v>4123.3999999999996</v>
      </c>
      <c r="G90" s="214">
        <v>6237.83</v>
      </c>
      <c r="H90" s="209">
        <v>130.47999999999999</v>
      </c>
      <c r="I90" s="210">
        <f t="shared" si="8"/>
        <v>338.64</v>
      </c>
      <c r="J90" s="209">
        <v>206.68</v>
      </c>
      <c r="K90" s="214">
        <v>131.96</v>
      </c>
      <c r="L90" s="220">
        <v>2323.14</v>
      </c>
      <c r="M90" s="120"/>
      <c r="N90" s="120"/>
    </row>
    <row r="91" spans="1:14" s="121" customFormat="1" ht="14.5">
      <c r="A91" s="472"/>
      <c r="B91" s="450" t="s">
        <v>107</v>
      </c>
      <c r="C91" s="166">
        <f t="shared" si="6"/>
        <v>17186.099999999999</v>
      </c>
      <c r="D91" s="166">
        <f t="shared" si="7"/>
        <v>14508.52</v>
      </c>
      <c r="E91" s="214">
        <v>4469.49</v>
      </c>
      <c r="F91" s="209">
        <v>4070.86</v>
      </c>
      <c r="G91" s="214">
        <v>5848.18</v>
      </c>
      <c r="H91" s="209">
        <v>119.99</v>
      </c>
      <c r="I91" s="210">
        <f t="shared" si="8"/>
        <v>452.46</v>
      </c>
      <c r="J91" s="209">
        <v>206.64</v>
      </c>
      <c r="K91" s="214">
        <v>245.82</v>
      </c>
      <c r="L91" s="220">
        <v>2225.12</v>
      </c>
      <c r="M91" s="120"/>
      <c r="N91" s="120"/>
    </row>
    <row r="92" spans="1:14" s="121" customFormat="1" ht="14.5">
      <c r="A92" s="472"/>
      <c r="B92" s="455" t="s">
        <v>108</v>
      </c>
      <c r="C92" s="167">
        <f t="shared" si="6"/>
        <v>16479</v>
      </c>
      <c r="D92" s="166">
        <f t="shared" si="7"/>
        <v>13942.31</v>
      </c>
      <c r="E92" s="214">
        <v>3725.39</v>
      </c>
      <c r="F92" s="214">
        <v>4022.34</v>
      </c>
      <c r="G92" s="214">
        <v>6085.39</v>
      </c>
      <c r="H92" s="214">
        <v>109.19</v>
      </c>
      <c r="I92" s="210">
        <f t="shared" si="8"/>
        <v>282.23</v>
      </c>
      <c r="J92" s="214">
        <v>200.83</v>
      </c>
      <c r="K92" s="214">
        <v>81.400000000000006</v>
      </c>
      <c r="L92" s="220">
        <v>2254.46</v>
      </c>
      <c r="M92" s="120"/>
      <c r="N92" s="120"/>
    </row>
    <row r="93" spans="1:14" s="121" customFormat="1" ht="14.5">
      <c r="A93" s="472"/>
      <c r="B93" s="455" t="s">
        <v>109</v>
      </c>
      <c r="C93" s="167">
        <f t="shared" si="6"/>
        <v>16405.150000000001</v>
      </c>
      <c r="D93" s="166">
        <f t="shared" si="7"/>
        <v>13611.06</v>
      </c>
      <c r="E93" s="214">
        <v>3578.25</v>
      </c>
      <c r="F93" s="214">
        <v>4068.79</v>
      </c>
      <c r="G93" s="214">
        <v>5858.67</v>
      </c>
      <c r="H93" s="214">
        <v>105.35</v>
      </c>
      <c r="I93" s="210">
        <f t="shared" si="8"/>
        <v>475.44</v>
      </c>
      <c r="J93" s="214">
        <v>223.41</v>
      </c>
      <c r="K93" s="214">
        <v>252.03</v>
      </c>
      <c r="L93" s="220">
        <v>2318.65</v>
      </c>
      <c r="M93" s="120"/>
      <c r="N93" s="120"/>
    </row>
    <row r="94" spans="1:14" s="121" customFormat="1" ht="14.5">
      <c r="A94" s="472"/>
      <c r="B94" s="455" t="s">
        <v>110</v>
      </c>
      <c r="C94" s="166">
        <f t="shared" si="6"/>
        <v>17712.34</v>
      </c>
      <c r="D94" s="166">
        <f t="shared" si="7"/>
        <v>14690.050000000001</v>
      </c>
      <c r="E94" s="214">
        <v>4538.54</v>
      </c>
      <c r="F94" s="214">
        <v>4092.65</v>
      </c>
      <c r="G94" s="214">
        <v>5956.03</v>
      </c>
      <c r="H94" s="214">
        <v>102.83</v>
      </c>
      <c r="I94" s="210">
        <f t="shared" si="8"/>
        <v>667.67</v>
      </c>
      <c r="J94" s="214">
        <v>221.92</v>
      </c>
      <c r="K94" s="214">
        <v>445.75</v>
      </c>
      <c r="L94" s="214">
        <v>2354.62</v>
      </c>
      <c r="M94" s="120"/>
      <c r="N94" s="120"/>
    </row>
    <row r="95" spans="1:14" s="121" customFormat="1" ht="14.5">
      <c r="A95" s="472"/>
      <c r="B95" s="455" t="s">
        <v>117</v>
      </c>
      <c r="C95" s="166">
        <f t="shared" si="6"/>
        <v>17396.939999999999</v>
      </c>
      <c r="D95" s="166">
        <f t="shared" si="7"/>
        <v>14692.21</v>
      </c>
      <c r="E95" s="214">
        <v>3603.22</v>
      </c>
      <c r="F95" s="214">
        <v>4070.66</v>
      </c>
      <c r="G95" s="214">
        <v>6915.08</v>
      </c>
      <c r="H95" s="214">
        <v>103.25</v>
      </c>
      <c r="I95" s="210">
        <f t="shared" si="8"/>
        <v>413.09000000000003</v>
      </c>
      <c r="J95" s="214">
        <v>208.68</v>
      </c>
      <c r="K95" s="214">
        <v>204.41</v>
      </c>
      <c r="L95" s="214">
        <v>2291.64</v>
      </c>
      <c r="M95" s="120"/>
      <c r="N95" s="120"/>
    </row>
    <row r="96" spans="1:14" s="121" customFormat="1" ht="14.5">
      <c r="A96" s="472"/>
      <c r="B96" s="455" t="s">
        <v>112</v>
      </c>
      <c r="C96" s="166">
        <f t="shared" si="6"/>
        <v>17261.489999999998</v>
      </c>
      <c r="D96" s="166">
        <f t="shared" si="7"/>
        <v>14643.789999999999</v>
      </c>
      <c r="E96" s="214">
        <v>3460.61</v>
      </c>
      <c r="F96" s="214">
        <v>4184.28</v>
      </c>
      <c r="G96" s="214">
        <v>6941.46</v>
      </c>
      <c r="H96" s="214">
        <v>57.44</v>
      </c>
      <c r="I96" s="210">
        <f t="shared" si="8"/>
        <v>351.5</v>
      </c>
      <c r="J96" s="214">
        <v>188.89</v>
      </c>
      <c r="K96" s="214">
        <v>162.61000000000001</v>
      </c>
      <c r="L96" s="214">
        <v>2266.1999999999998</v>
      </c>
      <c r="M96" s="120"/>
      <c r="N96" s="120"/>
    </row>
    <row r="97" spans="1:14" s="121" customFormat="1" ht="14.5">
      <c r="A97" s="472"/>
      <c r="B97" s="455" t="s">
        <v>113</v>
      </c>
      <c r="C97" s="166">
        <f t="shared" si="6"/>
        <v>17528.39</v>
      </c>
      <c r="D97" s="166">
        <f t="shared" si="7"/>
        <v>14771.7</v>
      </c>
      <c r="E97" s="214">
        <v>4682.2700000000004</v>
      </c>
      <c r="F97" s="214">
        <v>4107.5</v>
      </c>
      <c r="G97" s="214">
        <v>5920.9</v>
      </c>
      <c r="H97" s="214">
        <v>61.03</v>
      </c>
      <c r="I97" s="210">
        <f t="shared" si="8"/>
        <v>489.96</v>
      </c>
      <c r="J97" s="214">
        <v>185.26</v>
      </c>
      <c r="K97" s="214">
        <v>304.7</v>
      </c>
      <c r="L97" s="214">
        <v>2266.73</v>
      </c>
      <c r="M97" s="120"/>
      <c r="N97" s="120"/>
    </row>
    <row r="98" spans="1:14" s="121" customFormat="1" ht="14.5">
      <c r="A98" s="472"/>
      <c r="B98" s="455" t="s">
        <v>114</v>
      </c>
      <c r="C98" s="167">
        <f t="shared" si="6"/>
        <v>16637.96</v>
      </c>
      <c r="D98" s="166">
        <f t="shared" si="7"/>
        <v>14051.73</v>
      </c>
      <c r="E98" s="214">
        <v>3475.31</v>
      </c>
      <c r="F98" s="214">
        <v>4108.41</v>
      </c>
      <c r="G98" s="214">
        <v>6386.05</v>
      </c>
      <c r="H98" s="214">
        <v>81.96</v>
      </c>
      <c r="I98" s="210">
        <f t="shared" si="8"/>
        <v>272.48</v>
      </c>
      <c r="J98" s="214">
        <v>160.72999999999999</v>
      </c>
      <c r="K98" s="214">
        <v>111.75</v>
      </c>
      <c r="L98" s="220">
        <v>2313.75</v>
      </c>
      <c r="M98" s="120"/>
      <c r="N98" s="120"/>
    </row>
    <row r="99" spans="1:14" s="121" customFormat="1" ht="14.5">
      <c r="A99" s="472"/>
      <c r="B99" s="455" t="s">
        <v>115</v>
      </c>
      <c r="C99" s="167">
        <f t="shared" si="6"/>
        <v>16500.510000000002</v>
      </c>
      <c r="D99" s="166">
        <f t="shared" si="7"/>
        <v>13845.7</v>
      </c>
      <c r="E99" s="214">
        <v>3435.41</v>
      </c>
      <c r="F99" s="214">
        <v>4063</v>
      </c>
      <c r="G99" s="214">
        <v>6268.26</v>
      </c>
      <c r="H99" s="214">
        <v>79.03</v>
      </c>
      <c r="I99" s="210">
        <f t="shared" si="8"/>
        <v>344.34000000000003</v>
      </c>
      <c r="J99" s="214">
        <v>144.05000000000001</v>
      </c>
      <c r="K99" s="214">
        <v>200.29</v>
      </c>
      <c r="L99" s="220">
        <v>2310.4699999999998</v>
      </c>
      <c r="M99" s="120"/>
      <c r="N99" s="120"/>
    </row>
    <row r="100" spans="1:14" s="121" customFormat="1" ht="14.5">
      <c r="A100" s="473"/>
      <c r="B100" s="452" t="s">
        <v>116</v>
      </c>
      <c r="C100" s="168">
        <f t="shared" si="6"/>
        <v>18330.780000000002</v>
      </c>
      <c r="D100" s="168">
        <f t="shared" si="7"/>
        <v>15132.990000000002</v>
      </c>
      <c r="E100" s="216">
        <v>3408.82</v>
      </c>
      <c r="F100" s="211">
        <v>4104.2</v>
      </c>
      <c r="G100" s="216">
        <v>7546.04</v>
      </c>
      <c r="H100" s="211">
        <v>73.930000000000007</v>
      </c>
      <c r="I100" s="212">
        <f t="shared" si="8"/>
        <v>821.54</v>
      </c>
      <c r="J100" s="211">
        <v>127.67</v>
      </c>
      <c r="K100" s="216">
        <v>693.87</v>
      </c>
      <c r="L100" s="222">
        <v>2376.25</v>
      </c>
      <c r="M100" s="120"/>
      <c r="N100" s="120"/>
    </row>
    <row r="101" spans="1:14" s="121" customFormat="1" ht="14.5">
      <c r="A101" s="471">
        <v>2019</v>
      </c>
      <c r="B101" s="454" t="s">
        <v>105</v>
      </c>
      <c r="C101" s="171">
        <f t="shared" si="6"/>
        <v>17371</v>
      </c>
      <c r="D101" s="170">
        <f t="shared" si="7"/>
        <v>14690.19</v>
      </c>
      <c r="E101" s="227">
        <v>3454.39</v>
      </c>
      <c r="F101" s="227">
        <v>4017.07</v>
      </c>
      <c r="G101" s="227">
        <v>7148.06</v>
      </c>
      <c r="H101" s="227">
        <v>70.67</v>
      </c>
      <c r="I101" s="229">
        <f t="shared" si="8"/>
        <v>302.32</v>
      </c>
      <c r="J101" s="227">
        <v>118.55</v>
      </c>
      <c r="K101" s="227">
        <v>183.77</v>
      </c>
      <c r="L101" s="227">
        <v>2378.4899999999998</v>
      </c>
      <c r="M101" s="120"/>
      <c r="N101" s="120"/>
    </row>
    <row r="102" spans="1:14" s="121" customFormat="1" ht="14.5">
      <c r="A102" s="472"/>
      <c r="B102" s="455" t="s">
        <v>106</v>
      </c>
      <c r="C102" s="167">
        <f t="shared" si="6"/>
        <v>17092.469999999998</v>
      </c>
      <c r="D102" s="166">
        <f t="shared" si="7"/>
        <v>14439.279999999999</v>
      </c>
      <c r="E102" s="166">
        <v>3491.58</v>
      </c>
      <c r="F102" s="166">
        <v>4031.79</v>
      </c>
      <c r="G102" s="166">
        <v>6842.11</v>
      </c>
      <c r="H102" s="166">
        <v>73.8</v>
      </c>
      <c r="I102" s="139">
        <f t="shared" si="8"/>
        <v>256.84000000000003</v>
      </c>
      <c r="J102" s="166">
        <v>92.97</v>
      </c>
      <c r="K102" s="166">
        <v>163.87</v>
      </c>
      <c r="L102" s="166">
        <v>2396.35</v>
      </c>
      <c r="M102" s="120"/>
      <c r="N102" s="120"/>
    </row>
    <row r="103" spans="1:14" s="121" customFormat="1" ht="14.5">
      <c r="A103" s="472"/>
      <c r="B103" s="450" t="s">
        <v>107</v>
      </c>
      <c r="C103" s="167">
        <f t="shared" si="6"/>
        <v>18023.850000000002</v>
      </c>
      <c r="D103" s="166">
        <f t="shared" si="7"/>
        <v>14893.720000000001</v>
      </c>
      <c r="E103" s="166">
        <v>4681.59</v>
      </c>
      <c r="F103" s="166">
        <v>4048.41</v>
      </c>
      <c r="G103" s="166">
        <v>6087.63</v>
      </c>
      <c r="H103" s="166">
        <v>76.09</v>
      </c>
      <c r="I103" s="139">
        <f t="shared" si="8"/>
        <v>713.51</v>
      </c>
      <c r="J103" s="166">
        <v>123.87</v>
      </c>
      <c r="K103" s="166">
        <v>589.64</v>
      </c>
      <c r="L103" s="166">
        <v>2416.62</v>
      </c>
      <c r="M103" s="120"/>
      <c r="N103" s="120"/>
    </row>
    <row r="104" spans="1:14" s="121" customFormat="1" ht="14.5">
      <c r="A104" s="472"/>
      <c r="B104" s="455" t="s">
        <v>108</v>
      </c>
      <c r="C104" s="167">
        <f t="shared" si="6"/>
        <v>17527.61</v>
      </c>
      <c r="D104" s="166">
        <f t="shared" si="7"/>
        <v>14632.01</v>
      </c>
      <c r="E104" s="166">
        <v>3608.49</v>
      </c>
      <c r="F104" s="166">
        <v>4039.46</v>
      </c>
      <c r="G104" s="166">
        <v>6897.29</v>
      </c>
      <c r="H104" s="166">
        <v>86.77</v>
      </c>
      <c r="I104" s="139">
        <f t="shared" si="8"/>
        <v>431.04</v>
      </c>
      <c r="J104" s="166">
        <v>127.24</v>
      </c>
      <c r="K104" s="166">
        <v>303.8</v>
      </c>
      <c r="L104" s="166">
        <v>2464.56</v>
      </c>
      <c r="M104" s="120"/>
      <c r="N104" s="120"/>
    </row>
    <row r="105" spans="1:14" s="121" customFormat="1" ht="14.5">
      <c r="A105" s="472"/>
      <c r="B105" s="455" t="s">
        <v>109</v>
      </c>
      <c r="C105" s="167">
        <f t="shared" si="6"/>
        <v>16783.919999999998</v>
      </c>
      <c r="D105" s="166">
        <f t="shared" si="7"/>
        <v>13783.97</v>
      </c>
      <c r="E105" s="166">
        <v>3541.35</v>
      </c>
      <c r="F105" s="166">
        <v>4011.23</v>
      </c>
      <c r="G105" s="166">
        <v>6145.95</v>
      </c>
      <c r="H105" s="166">
        <v>85.44</v>
      </c>
      <c r="I105" s="139">
        <f t="shared" si="8"/>
        <v>484.66999999999996</v>
      </c>
      <c r="J105" s="166">
        <v>147.54</v>
      </c>
      <c r="K105" s="166">
        <v>337.13</v>
      </c>
      <c r="L105" s="166">
        <v>2515.2800000000002</v>
      </c>
      <c r="M105" s="120"/>
      <c r="N105" s="120"/>
    </row>
    <row r="106" spans="1:14" s="121" customFormat="1" ht="14.5">
      <c r="A106" s="472"/>
      <c r="B106" s="455" t="s">
        <v>110</v>
      </c>
      <c r="C106" s="167">
        <f t="shared" si="6"/>
        <v>17264.75</v>
      </c>
      <c r="D106" s="166">
        <f t="shared" si="7"/>
        <v>14411.86</v>
      </c>
      <c r="E106" s="166">
        <v>4524.08</v>
      </c>
      <c r="F106" s="166">
        <v>4004.93</v>
      </c>
      <c r="G106" s="166">
        <v>5796.28</v>
      </c>
      <c r="H106" s="166">
        <v>86.57</v>
      </c>
      <c r="I106" s="139">
        <f t="shared" si="8"/>
        <v>365.35</v>
      </c>
      <c r="J106" s="166">
        <v>135.55000000000001</v>
      </c>
      <c r="K106" s="166">
        <v>229.8</v>
      </c>
      <c r="L106" s="166">
        <v>2487.54</v>
      </c>
      <c r="M106" s="120"/>
      <c r="N106" s="120"/>
    </row>
    <row r="107" spans="1:14" s="121" customFormat="1" ht="14.5">
      <c r="A107" s="472"/>
      <c r="B107" s="455" t="s">
        <v>117</v>
      </c>
      <c r="C107" s="231">
        <f t="shared" si="6"/>
        <v>17096.489999999998</v>
      </c>
      <c r="D107" s="232">
        <f t="shared" si="7"/>
        <v>14282</v>
      </c>
      <c r="E107" s="232">
        <v>3670.37</v>
      </c>
      <c r="F107" s="232">
        <v>4020.2</v>
      </c>
      <c r="G107" s="232">
        <v>6529.67</v>
      </c>
      <c r="H107" s="232">
        <v>61.76</v>
      </c>
      <c r="I107" s="150">
        <f t="shared" si="8"/>
        <v>273.31</v>
      </c>
      <c r="J107" s="232">
        <v>120.32</v>
      </c>
      <c r="K107" s="232">
        <v>152.99</v>
      </c>
      <c r="L107" s="232">
        <v>2541.1799999999998</v>
      </c>
      <c r="M107" s="120"/>
      <c r="N107" s="120"/>
    </row>
    <row r="108" spans="1:14" s="121" customFormat="1" ht="14.5">
      <c r="A108" s="472"/>
      <c r="B108" s="455" t="s">
        <v>112</v>
      </c>
      <c r="C108" s="231">
        <f t="shared" si="6"/>
        <v>16891.02</v>
      </c>
      <c r="D108" s="232">
        <f t="shared" si="7"/>
        <v>14008.51</v>
      </c>
      <c r="E108" s="232">
        <v>3595.48</v>
      </c>
      <c r="F108" s="232">
        <v>4015.69</v>
      </c>
      <c r="G108" s="232">
        <v>6332.23</v>
      </c>
      <c r="H108" s="232">
        <v>65.11</v>
      </c>
      <c r="I108" s="150">
        <f t="shared" si="8"/>
        <v>284.96000000000004</v>
      </c>
      <c r="J108" s="232">
        <v>141.86000000000001</v>
      </c>
      <c r="K108" s="232">
        <v>143.1</v>
      </c>
      <c r="L108" s="232">
        <v>2597.5500000000002</v>
      </c>
      <c r="M108" s="120"/>
      <c r="N108" s="120"/>
    </row>
    <row r="109" spans="1:14" s="121" customFormat="1" ht="14.5">
      <c r="A109" s="472"/>
      <c r="B109" s="455" t="s">
        <v>113</v>
      </c>
      <c r="C109" s="231">
        <f t="shared" si="6"/>
        <v>16853.629999999997</v>
      </c>
      <c r="D109" s="232">
        <f t="shared" si="7"/>
        <v>13925.179999999998</v>
      </c>
      <c r="E109" s="232">
        <v>4363.3500000000004</v>
      </c>
      <c r="F109" s="232">
        <v>3944.63</v>
      </c>
      <c r="G109" s="232">
        <v>5548.23</v>
      </c>
      <c r="H109" s="232">
        <v>68.97</v>
      </c>
      <c r="I109" s="150">
        <f t="shared" si="8"/>
        <v>339.18</v>
      </c>
      <c r="J109" s="232">
        <v>119.02</v>
      </c>
      <c r="K109" s="232">
        <v>220.16</v>
      </c>
      <c r="L109" s="232">
        <v>2589.27</v>
      </c>
      <c r="M109" s="120"/>
      <c r="N109" s="120"/>
    </row>
    <row r="110" spans="1:14" s="121" customFormat="1" ht="14.5">
      <c r="A110" s="472"/>
      <c r="B110" s="455" t="s">
        <v>114</v>
      </c>
      <c r="C110" s="166">
        <f t="shared" si="6"/>
        <v>16185.300000000001</v>
      </c>
      <c r="D110" s="166">
        <f t="shared" si="7"/>
        <v>13466.77</v>
      </c>
      <c r="E110" s="166">
        <v>3700.83</v>
      </c>
      <c r="F110" s="166">
        <v>3993.96</v>
      </c>
      <c r="G110" s="166">
        <v>5706.5</v>
      </c>
      <c r="H110" s="166">
        <v>65.48</v>
      </c>
      <c r="I110" s="139">
        <f t="shared" si="8"/>
        <v>230.11</v>
      </c>
      <c r="J110" s="166">
        <v>104.72</v>
      </c>
      <c r="K110" s="166">
        <v>125.39</v>
      </c>
      <c r="L110" s="166">
        <v>2488.42</v>
      </c>
      <c r="M110" s="120"/>
      <c r="N110" s="120"/>
    </row>
    <row r="111" spans="1:14" s="121" customFormat="1" ht="14.5">
      <c r="A111" s="472"/>
      <c r="B111" s="455" t="s">
        <v>115</v>
      </c>
      <c r="C111" s="166">
        <f t="shared" si="6"/>
        <v>16286.3</v>
      </c>
      <c r="D111" s="166">
        <f t="shared" si="7"/>
        <v>13457.039999999999</v>
      </c>
      <c r="E111" s="166">
        <v>3713.31</v>
      </c>
      <c r="F111" s="166">
        <v>3997.03</v>
      </c>
      <c r="G111" s="166">
        <v>5681.96</v>
      </c>
      <c r="H111" s="166">
        <v>64.739999999999995</v>
      </c>
      <c r="I111" s="139">
        <f t="shared" si="8"/>
        <v>310.94</v>
      </c>
      <c r="J111" s="166">
        <v>103.77</v>
      </c>
      <c r="K111" s="166">
        <v>207.17</v>
      </c>
      <c r="L111" s="166">
        <v>2518.3200000000002</v>
      </c>
      <c r="M111" s="120"/>
      <c r="N111" s="120"/>
    </row>
    <row r="112" spans="1:14" s="121" customFormat="1" ht="14.5">
      <c r="A112" s="473"/>
      <c r="B112" s="456" t="s">
        <v>116</v>
      </c>
      <c r="C112" s="168">
        <f t="shared" si="6"/>
        <v>18608.560000000001</v>
      </c>
      <c r="D112" s="168">
        <f t="shared" si="7"/>
        <v>15496.18</v>
      </c>
      <c r="E112" s="168">
        <v>4386.57</v>
      </c>
      <c r="F112" s="168">
        <v>3997.63</v>
      </c>
      <c r="G112" s="168">
        <v>6346.41</v>
      </c>
      <c r="H112" s="168">
        <v>765.57</v>
      </c>
      <c r="I112" s="142">
        <f t="shared" si="8"/>
        <v>410.81</v>
      </c>
      <c r="J112" s="168">
        <v>120.29</v>
      </c>
      <c r="K112" s="168">
        <v>290.52</v>
      </c>
      <c r="L112" s="168">
        <v>2701.57</v>
      </c>
      <c r="M112" s="120"/>
      <c r="N112" s="120"/>
    </row>
    <row r="113" spans="1:14" s="121" customFormat="1" ht="14.5">
      <c r="A113" s="471">
        <v>2020</v>
      </c>
      <c r="B113" s="454" t="s">
        <v>105</v>
      </c>
      <c r="C113" s="170">
        <f t="shared" si="6"/>
        <v>17678.436951800977</v>
      </c>
      <c r="D113" s="170">
        <f t="shared" si="7"/>
        <v>14571.426011923548</v>
      </c>
      <c r="E113" s="170">
        <v>3827.9982581908534</v>
      </c>
      <c r="F113" s="170">
        <v>3957.3161147083606</v>
      </c>
      <c r="G113" s="170">
        <v>6727.8178352990853</v>
      </c>
      <c r="H113" s="170">
        <v>58.293803725247983</v>
      </c>
      <c r="I113" s="136">
        <f t="shared" si="8"/>
        <v>474.44917055886094</v>
      </c>
      <c r="J113" s="170">
        <v>117.58773775</v>
      </c>
      <c r="K113" s="170">
        <v>356.86143280886097</v>
      </c>
      <c r="L113" s="170">
        <v>2632.5617693185704</v>
      </c>
      <c r="M113" s="120"/>
      <c r="N113" s="120"/>
    </row>
    <row r="114" spans="1:14" s="121" customFormat="1" ht="14.5">
      <c r="A114" s="472"/>
      <c r="B114" s="455" t="s">
        <v>106</v>
      </c>
      <c r="C114" s="166">
        <f t="shared" si="6"/>
        <v>17243.117260896062</v>
      </c>
      <c r="D114" s="166">
        <f t="shared" si="7"/>
        <v>14062.354343417333</v>
      </c>
      <c r="E114" s="166">
        <v>3840.066487545198</v>
      </c>
      <c r="F114" s="166">
        <v>3999.2710343949275</v>
      </c>
      <c r="G114" s="166">
        <v>6165.6830920129705</v>
      </c>
      <c r="H114" s="166">
        <v>57.333729464236121</v>
      </c>
      <c r="I114" s="139">
        <f t="shared" si="8"/>
        <v>491.42320260522888</v>
      </c>
      <c r="J114" s="166">
        <v>122.01748555999998</v>
      </c>
      <c r="K114" s="166">
        <v>369.40571704522893</v>
      </c>
      <c r="L114" s="166">
        <v>2689.3397148734994</v>
      </c>
      <c r="M114" s="120"/>
      <c r="N114" s="120"/>
    </row>
    <row r="115" spans="1:14" s="121" customFormat="1" ht="14.5">
      <c r="A115" s="472"/>
      <c r="B115" s="450" t="s">
        <v>107</v>
      </c>
      <c r="C115" s="166">
        <f>D115+I115+L115</f>
        <v>17942.552103438917</v>
      </c>
      <c r="D115" s="166">
        <f>E115+F115+G115+H115</f>
        <v>14615.314043156413</v>
      </c>
      <c r="E115" s="166">
        <v>5012.2848819798473</v>
      </c>
      <c r="F115" s="166">
        <v>4039.5865755358573</v>
      </c>
      <c r="G115" s="166">
        <v>5502.2482387915607</v>
      </c>
      <c r="H115" s="166">
        <v>61.194346849148097</v>
      </c>
      <c r="I115" s="139">
        <f t="shared" si="8"/>
        <v>689.3737328753615</v>
      </c>
      <c r="J115" s="166">
        <v>84.390134089999989</v>
      </c>
      <c r="K115" s="166">
        <v>604.98359878536155</v>
      </c>
      <c r="L115" s="166">
        <v>2637.864327407141</v>
      </c>
      <c r="M115" s="120"/>
      <c r="N115" s="120"/>
    </row>
    <row r="116" spans="1:14" s="121" customFormat="1" ht="14.5">
      <c r="A116" s="472"/>
      <c r="B116" s="455" t="s">
        <v>108</v>
      </c>
      <c r="C116" s="167">
        <f>D116+I116+L116</f>
        <v>17762.587603853928</v>
      </c>
      <c r="D116" s="166">
        <f>E116+F116+G116+H116</f>
        <v>14494.870854491106</v>
      </c>
      <c r="E116" s="166">
        <v>4370.6049173379752</v>
      </c>
      <c r="F116" s="166">
        <v>4044.6179839919405</v>
      </c>
      <c r="G116" s="166">
        <v>6024.1774678594284</v>
      </c>
      <c r="H116" s="166">
        <v>55.470485301762018</v>
      </c>
      <c r="I116" s="139">
        <f t="shared" si="8"/>
        <v>625.27675620424395</v>
      </c>
      <c r="J116" s="166">
        <v>60.920561190000008</v>
      </c>
      <c r="K116" s="166">
        <v>564.35619501424389</v>
      </c>
      <c r="L116" s="166">
        <v>2642.4399931585772</v>
      </c>
      <c r="M116" s="120"/>
      <c r="N116" s="120"/>
    </row>
    <row r="117" spans="1:14" s="121" customFormat="1" ht="14.5">
      <c r="A117" s="472"/>
      <c r="B117" s="455" t="s">
        <v>109</v>
      </c>
      <c r="C117" s="167">
        <f>D117+I117+L117</f>
        <v>19491.766365793341</v>
      </c>
      <c r="D117" s="166">
        <f>E117+F117+G117+H117</f>
        <v>16209.8463997852</v>
      </c>
      <c r="E117" s="166">
        <v>4351.7923148583268</v>
      </c>
      <c r="F117" s="166">
        <v>4128.239053169038</v>
      </c>
      <c r="G117" s="166">
        <v>7674.0905739457821</v>
      </c>
      <c r="H117" s="166">
        <v>55.724457812052805</v>
      </c>
      <c r="I117" s="139">
        <f t="shared" si="8"/>
        <v>643.51903079304338</v>
      </c>
      <c r="J117" s="166">
        <v>111.82935343</v>
      </c>
      <c r="K117" s="166">
        <v>531.68967736304342</v>
      </c>
      <c r="L117" s="166">
        <v>2638.4009352150965</v>
      </c>
      <c r="M117" s="120"/>
      <c r="N117" s="120"/>
    </row>
    <row r="118" spans="1:14" s="121" customFormat="1" ht="14.5">
      <c r="A118" s="472"/>
      <c r="B118" s="455" t="s">
        <v>110</v>
      </c>
      <c r="C118" s="167">
        <f>D118+I118+L118</f>
        <v>17595.565262882563</v>
      </c>
      <c r="D118" s="166">
        <f>E118+F118+G118+H118</f>
        <v>14249.756537651643</v>
      </c>
      <c r="E118" s="166">
        <v>4794.9036747303389</v>
      </c>
      <c r="F118" s="166">
        <v>4278.4456466145393</v>
      </c>
      <c r="G118" s="166">
        <v>5123.5390344204616</v>
      </c>
      <c r="H118" s="166">
        <v>52.868181886305052</v>
      </c>
      <c r="I118" s="139">
        <f t="shared" si="8"/>
        <v>678.65068488535792</v>
      </c>
      <c r="J118" s="166">
        <v>153.34926675999998</v>
      </c>
      <c r="K118" s="166">
        <v>525.30141812535794</v>
      </c>
      <c r="L118" s="166">
        <v>2667.15804034556</v>
      </c>
      <c r="M118" s="120"/>
      <c r="N118" s="120"/>
    </row>
    <row r="119" spans="1:14" s="121" customFormat="1" ht="14.5">
      <c r="A119" s="472"/>
      <c r="B119" s="455" t="s">
        <v>117</v>
      </c>
      <c r="C119" s="166">
        <f t="shared" ref="C119:C139" si="9">D119+I119+L119</f>
        <v>17652.139497805383</v>
      </c>
      <c r="D119" s="166">
        <f t="shared" ref="D119:D139" si="10">E119+F119+G119+H119</f>
        <v>14145.790437569709</v>
      </c>
      <c r="E119" s="166">
        <v>4641.1035193568532</v>
      </c>
      <c r="F119" s="166">
        <v>4234.1546665331034</v>
      </c>
      <c r="G119" s="166">
        <v>5164.7909648235454</v>
      </c>
      <c r="H119" s="166">
        <v>105.74128685620518</v>
      </c>
      <c r="I119" s="139">
        <f t="shared" si="8"/>
        <v>923.61520387707185</v>
      </c>
      <c r="J119" s="166">
        <v>181.10726206999996</v>
      </c>
      <c r="K119" s="166">
        <v>742.50794180707192</v>
      </c>
      <c r="L119" s="166">
        <v>2582.7338563586027</v>
      </c>
      <c r="M119" s="120"/>
      <c r="N119" s="120"/>
    </row>
    <row r="120" spans="1:14" s="121" customFormat="1" ht="14.5">
      <c r="A120" s="472"/>
      <c r="B120" s="455" t="s">
        <v>112</v>
      </c>
      <c r="C120" s="166">
        <f t="shared" si="9"/>
        <v>17882.655060413519</v>
      </c>
      <c r="D120" s="166">
        <f t="shared" si="10"/>
        <v>14218.195360669733</v>
      </c>
      <c r="E120" s="166">
        <v>4638.4157524589928</v>
      </c>
      <c r="F120" s="166">
        <v>4254.560776363096</v>
      </c>
      <c r="G120" s="166">
        <v>5218.3204000530604</v>
      </c>
      <c r="H120" s="166">
        <v>106.89843179458596</v>
      </c>
      <c r="I120" s="139">
        <f t="shared" si="8"/>
        <v>1037.7267779950466</v>
      </c>
      <c r="J120" s="166">
        <v>213.62845513000005</v>
      </c>
      <c r="K120" s="166">
        <v>824.0983228650465</v>
      </c>
      <c r="L120" s="166">
        <v>2626.7329217487386</v>
      </c>
      <c r="M120" s="120"/>
      <c r="N120" s="120"/>
    </row>
    <row r="121" spans="1:14" s="121" customFormat="1" ht="14.5">
      <c r="A121" s="472"/>
      <c r="B121" s="455" t="s">
        <v>113</v>
      </c>
      <c r="C121" s="166">
        <f t="shared" si="9"/>
        <v>17912.367939834221</v>
      </c>
      <c r="D121" s="166">
        <f t="shared" si="10"/>
        <v>14198.26032348648</v>
      </c>
      <c r="E121" s="166">
        <v>4515.7556908678607</v>
      </c>
      <c r="F121" s="166">
        <v>4258.5370283156262</v>
      </c>
      <c r="G121" s="166">
        <v>5317.1050020780312</v>
      </c>
      <c r="H121" s="166">
        <v>106.86260222496195</v>
      </c>
      <c r="I121" s="139">
        <f t="shared" si="8"/>
        <v>1080.0410661875001</v>
      </c>
      <c r="J121" s="166">
        <v>191.72921630000002</v>
      </c>
      <c r="K121" s="166">
        <v>888.31184988749999</v>
      </c>
      <c r="L121" s="166">
        <v>2634.0665501602407</v>
      </c>
      <c r="M121" s="120"/>
      <c r="N121" s="120"/>
    </row>
    <row r="122" spans="1:14" s="121" customFormat="1" ht="14.5">
      <c r="A122" s="472"/>
      <c r="B122" s="455" t="s">
        <v>114</v>
      </c>
      <c r="C122" s="167">
        <f t="shared" si="9"/>
        <v>18124.127184391611</v>
      </c>
      <c r="D122" s="166">
        <f t="shared" si="10"/>
        <v>14299.887822796982</v>
      </c>
      <c r="E122" s="166">
        <v>4491.7127873854533</v>
      </c>
      <c r="F122" s="166">
        <v>4352.973111338184</v>
      </c>
      <c r="G122" s="166">
        <v>5349.3520904181214</v>
      </c>
      <c r="H122" s="166">
        <v>105.849833655224</v>
      </c>
      <c r="I122" s="139">
        <f t="shared" si="8"/>
        <v>1155.6220927486122</v>
      </c>
      <c r="J122" s="166">
        <v>188.698746</v>
      </c>
      <c r="K122" s="166">
        <v>966.92334674861218</v>
      </c>
      <c r="L122" s="166">
        <v>2668.6172688460174</v>
      </c>
      <c r="M122" s="120"/>
      <c r="N122" s="120"/>
    </row>
    <row r="123" spans="1:14" s="121" customFormat="1" ht="14.5">
      <c r="A123" s="472"/>
      <c r="B123" s="455" t="s">
        <v>115</v>
      </c>
      <c r="C123" s="167">
        <f t="shared" si="9"/>
        <v>18125.900455110357</v>
      </c>
      <c r="D123" s="166">
        <f t="shared" si="10"/>
        <v>14339.258711809056</v>
      </c>
      <c r="E123" s="166">
        <v>4826.5763722772454</v>
      </c>
      <c r="F123" s="166">
        <v>4309.8108948149456</v>
      </c>
      <c r="G123" s="166">
        <v>5118.9405013359028</v>
      </c>
      <c r="H123" s="166">
        <v>83.930943380961992</v>
      </c>
      <c r="I123" s="139">
        <f t="shared" si="8"/>
        <v>1134.2184740783721</v>
      </c>
      <c r="J123" s="166">
        <v>193.40885789000001</v>
      </c>
      <c r="K123" s="166">
        <v>940.80961618837205</v>
      </c>
      <c r="L123" s="166">
        <v>2652.4232692229302</v>
      </c>
      <c r="M123" s="120"/>
      <c r="N123" s="120"/>
    </row>
    <row r="124" spans="1:14" s="121" customFormat="1" ht="14.5">
      <c r="A124" s="473"/>
      <c r="B124" s="456" t="s">
        <v>116</v>
      </c>
      <c r="C124" s="169">
        <f t="shared" si="9"/>
        <v>18272.453892056168</v>
      </c>
      <c r="D124" s="168">
        <f t="shared" si="10"/>
        <v>14361.645541658434</v>
      </c>
      <c r="E124" s="168">
        <v>4596.3615841287838</v>
      </c>
      <c r="F124" s="168">
        <v>4594.5597343982772</v>
      </c>
      <c r="G124" s="168">
        <v>5089.0417940506086</v>
      </c>
      <c r="H124" s="168">
        <v>81.682429080764862</v>
      </c>
      <c r="I124" s="142">
        <f t="shared" si="8"/>
        <v>1218.6569613563381</v>
      </c>
      <c r="J124" s="168">
        <v>204.22025625999999</v>
      </c>
      <c r="K124" s="168">
        <v>1014.4367050963381</v>
      </c>
      <c r="L124" s="168">
        <v>2692.1513890413958</v>
      </c>
      <c r="M124" s="120"/>
      <c r="N124" s="120"/>
    </row>
    <row r="125" spans="1:14" s="121" customFormat="1" ht="14.5">
      <c r="A125" s="471">
        <v>2021</v>
      </c>
      <c r="B125" s="454" t="s">
        <v>105</v>
      </c>
      <c r="C125" s="171">
        <f t="shared" si="9"/>
        <v>17508.716880858883</v>
      </c>
      <c r="D125" s="170">
        <f t="shared" si="10"/>
        <v>14036.311807496695</v>
      </c>
      <c r="E125" s="170">
        <v>4417.9635136620791</v>
      </c>
      <c r="F125" s="170">
        <v>4344.3263380059016</v>
      </c>
      <c r="G125" s="170">
        <v>5192.3860889660709</v>
      </c>
      <c r="H125" s="170">
        <v>81.635866862642104</v>
      </c>
      <c r="I125" s="136">
        <f t="shared" si="8"/>
        <v>716.25763825282695</v>
      </c>
      <c r="J125" s="170">
        <v>201.95409633</v>
      </c>
      <c r="K125" s="170">
        <v>514.30354192282698</v>
      </c>
      <c r="L125" s="170">
        <v>2756.1474351093598</v>
      </c>
      <c r="M125" s="120"/>
      <c r="N125" s="120"/>
    </row>
    <row r="126" spans="1:14" s="121" customFormat="1" ht="14.5">
      <c r="A126" s="472"/>
      <c r="B126" s="455" t="s">
        <v>106</v>
      </c>
      <c r="C126" s="167">
        <f t="shared" si="9"/>
        <v>17584.821029195024</v>
      </c>
      <c r="D126" s="166">
        <f t="shared" si="10"/>
        <v>14088.685833677469</v>
      </c>
      <c r="E126" s="166">
        <v>4311.8027483356846</v>
      </c>
      <c r="F126" s="166">
        <v>4416.9609618141149</v>
      </c>
      <c r="G126" s="166">
        <v>5260.9815604310033</v>
      </c>
      <c r="H126" s="166">
        <v>98.940563096666068</v>
      </c>
      <c r="I126" s="139">
        <f t="shared" si="8"/>
        <v>756.76816980084709</v>
      </c>
      <c r="J126" s="166">
        <v>192.14268819</v>
      </c>
      <c r="K126" s="166">
        <v>564.62548161084703</v>
      </c>
      <c r="L126" s="166">
        <v>2739.3670257167082</v>
      </c>
      <c r="M126" s="120"/>
      <c r="N126" s="120"/>
    </row>
    <row r="127" spans="1:14" s="121" customFormat="1" ht="14.5">
      <c r="A127" s="472"/>
      <c r="B127" s="455" t="s">
        <v>107</v>
      </c>
      <c r="C127" s="167">
        <f t="shared" si="9"/>
        <v>18088.184082631975</v>
      </c>
      <c r="D127" s="166">
        <f t="shared" si="10"/>
        <v>14421.571565279601</v>
      </c>
      <c r="E127" s="166">
        <v>4747.4141589436522</v>
      </c>
      <c r="F127" s="166">
        <v>4415.9831607305432</v>
      </c>
      <c r="G127" s="166">
        <v>5169.9976026153281</v>
      </c>
      <c r="H127" s="166">
        <v>88.176642990076985</v>
      </c>
      <c r="I127" s="139">
        <f t="shared" si="8"/>
        <v>930.88984454321201</v>
      </c>
      <c r="J127" s="166">
        <v>190.87110797000003</v>
      </c>
      <c r="K127" s="166">
        <v>740.01873657321198</v>
      </c>
      <c r="L127" s="166">
        <v>2735.7226728091637</v>
      </c>
      <c r="M127" s="120"/>
      <c r="N127" s="120"/>
    </row>
    <row r="128" spans="1:14" s="121" customFormat="1" ht="14.5">
      <c r="A128" s="472"/>
      <c r="B128" s="455" t="s">
        <v>108</v>
      </c>
      <c r="C128" s="167">
        <f t="shared" si="9"/>
        <v>18086.068201780989</v>
      </c>
      <c r="D128" s="166">
        <f t="shared" si="10"/>
        <v>14685.715295679651</v>
      </c>
      <c r="E128" s="166">
        <v>4441.6138646381205</v>
      </c>
      <c r="F128" s="166">
        <v>4339.4642933053947</v>
      </c>
      <c r="G128" s="166">
        <v>5814.4887354758175</v>
      </c>
      <c r="H128" s="166">
        <v>90.148402260318903</v>
      </c>
      <c r="I128" s="139">
        <f t="shared" si="8"/>
        <v>677.49581647019909</v>
      </c>
      <c r="J128" s="166">
        <v>148.40918037000003</v>
      </c>
      <c r="K128" s="166">
        <v>529.08663610019903</v>
      </c>
      <c r="L128" s="166">
        <v>2722.8570896311408</v>
      </c>
      <c r="M128" s="120"/>
      <c r="N128" s="120"/>
    </row>
    <row r="129" spans="1:14" s="121" customFormat="1">
      <c r="A129" s="449"/>
      <c r="B129" s="455" t="s">
        <v>109</v>
      </c>
      <c r="C129" s="167">
        <f t="shared" si="9"/>
        <v>18147.082060232362</v>
      </c>
      <c r="D129" s="166">
        <f t="shared" si="10"/>
        <v>14403.582502085901</v>
      </c>
      <c r="E129" s="166">
        <v>4379.9372517611919</v>
      </c>
      <c r="F129" s="166">
        <v>4347.7630836884791</v>
      </c>
      <c r="G129" s="166">
        <v>5593.9352923625866</v>
      </c>
      <c r="H129" s="166">
        <v>81.94687427364498</v>
      </c>
      <c r="I129" s="139">
        <f t="shared" si="8"/>
        <v>992.69176974864797</v>
      </c>
      <c r="J129" s="166">
        <v>200.85658497</v>
      </c>
      <c r="K129" s="166">
        <v>791.835184778648</v>
      </c>
      <c r="L129" s="166">
        <v>2750.8077883978117</v>
      </c>
      <c r="M129" s="120"/>
      <c r="N129" s="120"/>
    </row>
    <row r="130" spans="1:14" s="121" customFormat="1">
      <c r="A130" s="449"/>
      <c r="B130" s="455" t="s">
        <v>110</v>
      </c>
      <c r="C130" s="167">
        <f t="shared" si="9"/>
        <v>18567.196090609203</v>
      </c>
      <c r="D130" s="166">
        <f t="shared" si="10"/>
        <v>15075.903753905253</v>
      </c>
      <c r="E130" s="166">
        <v>4919.1584416160649</v>
      </c>
      <c r="F130" s="166">
        <v>4390.2865803009554</v>
      </c>
      <c r="G130" s="166">
        <v>5681.3985219255874</v>
      </c>
      <c r="H130" s="166">
        <v>85.060210062643989</v>
      </c>
      <c r="I130" s="139">
        <f t="shared" si="8"/>
        <v>697.62236974707548</v>
      </c>
      <c r="J130" s="166">
        <v>148.81334236999999</v>
      </c>
      <c r="K130" s="166">
        <v>548.80902737707549</v>
      </c>
      <c r="L130" s="166">
        <v>2793.6699669568725</v>
      </c>
      <c r="M130" s="120"/>
      <c r="N130" s="120"/>
    </row>
    <row r="131" spans="1:14" s="121" customFormat="1">
      <c r="A131" s="449"/>
      <c r="B131" s="455" t="s">
        <v>117</v>
      </c>
      <c r="C131" s="167">
        <f t="shared" si="9"/>
        <v>18437.262946767078</v>
      </c>
      <c r="D131" s="166">
        <f t="shared" si="10"/>
        <v>15059.439825778831</v>
      </c>
      <c r="E131" s="166">
        <v>4440.2043157320913</v>
      </c>
      <c r="F131" s="166">
        <v>4498.0181081550427</v>
      </c>
      <c r="G131" s="166">
        <v>6032.1015132414941</v>
      </c>
      <c r="H131" s="166">
        <v>89.115888650201981</v>
      </c>
      <c r="I131" s="139">
        <f t="shared" si="8"/>
        <v>579.60608064413202</v>
      </c>
      <c r="J131" s="166">
        <v>144.14340497000001</v>
      </c>
      <c r="K131" s="166">
        <v>435.46267567413202</v>
      </c>
      <c r="L131" s="166">
        <v>2798.217040344115</v>
      </c>
      <c r="M131" s="120"/>
      <c r="N131" s="120"/>
    </row>
    <row r="132" spans="1:14" s="121" customFormat="1">
      <c r="A132" s="449"/>
      <c r="B132" s="455" t="s">
        <v>112</v>
      </c>
      <c r="C132" s="167">
        <f t="shared" si="9"/>
        <v>18480.431125598872</v>
      </c>
      <c r="D132" s="166">
        <f t="shared" si="10"/>
        <v>14985.716813881072</v>
      </c>
      <c r="E132" s="166">
        <v>4562.6540204055109</v>
      </c>
      <c r="F132" s="166">
        <v>4471.4933314925602</v>
      </c>
      <c r="G132" s="166">
        <v>5874.5615521633508</v>
      </c>
      <c r="H132" s="166">
        <v>77.007909819650095</v>
      </c>
      <c r="I132" s="139">
        <f t="shared" si="8"/>
        <v>419.79597094897002</v>
      </c>
      <c r="J132" s="166">
        <v>144.18241023000002</v>
      </c>
      <c r="K132" s="166">
        <v>275.61356071897001</v>
      </c>
      <c r="L132" s="166">
        <v>3074.9183407688315</v>
      </c>
      <c r="M132" s="120"/>
      <c r="N132" s="120"/>
    </row>
    <row r="133" spans="1:14" s="121" customFormat="1">
      <c r="A133" s="449"/>
      <c r="B133" s="455" t="s">
        <v>113</v>
      </c>
      <c r="C133" s="167">
        <f t="shared" si="9"/>
        <v>19213.344900030639</v>
      </c>
      <c r="D133" s="166">
        <f t="shared" si="10"/>
        <v>15924.739990670923</v>
      </c>
      <c r="E133" s="166">
        <v>5572.7768805664064</v>
      </c>
      <c r="F133" s="166">
        <v>4475.7446819423831</v>
      </c>
      <c r="G133" s="166">
        <v>5786.6300072557324</v>
      </c>
      <c r="H133" s="166">
        <v>89.588420906400046</v>
      </c>
      <c r="I133" s="139">
        <f t="shared" si="8"/>
        <v>503.953724586975</v>
      </c>
      <c r="J133" s="166">
        <v>146.15989038999999</v>
      </c>
      <c r="K133" s="166">
        <v>357.79383419697501</v>
      </c>
      <c r="L133" s="166">
        <v>2784.6511847727402</v>
      </c>
      <c r="M133" s="120"/>
      <c r="N133" s="120"/>
    </row>
    <row r="134" spans="1:14" s="121" customFormat="1">
      <c r="A134" s="449"/>
      <c r="B134" s="455" t="s">
        <v>114</v>
      </c>
      <c r="C134" s="167">
        <f t="shared" si="9"/>
        <v>18469.72333991648</v>
      </c>
      <c r="D134" s="166">
        <f t="shared" si="10"/>
        <v>15043.270108643301</v>
      </c>
      <c r="E134" s="166">
        <v>4666.0421487948643</v>
      </c>
      <c r="F134" s="166">
        <v>4392.2141548106456</v>
      </c>
      <c r="G134" s="166">
        <v>5902.7711525077557</v>
      </c>
      <c r="H134" s="166">
        <v>82.242652530033922</v>
      </c>
      <c r="I134" s="139">
        <f t="shared" si="8"/>
        <v>702.96233800235996</v>
      </c>
      <c r="J134" s="166">
        <v>133.8967471</v>
      </c>
      <c r="K134" s="166">
        <v>569.06559090235999</v>
      </c>
      <c r="L134" s="166">
        <v>2723.490893270819</v>
      </c>
      <c r="M134" s="120"/>
      <c r="N134" s="120"/>
    </row>
    <row r="135" spans="1:14" s="121" customFormat="1">
      <c r="A135" s="449"/>
      <c r="B135" s="455" t="s">
        <v>115</v>
      </c>
      <c r="C135" s="167">
        <f t="shared" si="9"/>
        <v>18393.823442155852</v>
      </c>
      <c r="D135" s="166">
        <f t="shared" si="10"/>
        <v>14925.937229191248</v>
      </c>
      <c r="E135" s="166">
        <v>4914.906828485493</v>
      </c>
      <c r="F135" s="166">
        <v>4358.0188349368482</v>
      </c>
      <c r="G135" s="166">
        <v>5566.8308947970982</v>
      </c>
      <c r="H135" s="166">
        <v>86.180670971807956</v>
      </c>
      <c r="I135" s="139">
        <f t="shared" si="8"/>
        <v>681.79496767222906</v>
      </c>
      <c r="J135" s="166">
        <v>142.11639661000001</v>
      </c>
      <c r="K135" s="166">
        <v>539.67857106222903</v>
      </c>
      <c r="L135" s="166">
        <v>2786.0912452923731</v>
      </c>
      <c r="M135" s="120"/>
      <c r="N135" s="120"/>
    </row>
    <row r="136" spans="1:14" s="121" customFormat="1">
      <c r="A136" s="451"/>
      <c r="B136" s="456" t="s">
        <v>116</v>
      </c>
      <c r="C136" s="169">
        <f t="shared" si="9"/>
        <v>19361.894232375547</v>
      </c>
      <c r="D136" s="168">
        <f t="shared" si="10"/>
        <v>16079.341565176666</v>
      </c>
      <c r="E136" s="168">
        <v>5926.2402941038781</v>
      </c>
      <c r="F136" s="168">
        <v>4559.4184814755517</v>
      </c>
      <c r="G136" s="168">
        <v>5502.0306559675901</v>
      </c>
      <c r="H136" s="168">
        <v>91.65213362964721</v>
      </c>
      <c r="I136" s="142">
        <f t="shared" si="8"/>
        <v>540.175746222052</v>
      </c>
      <c r="J136" s="168">
        <v>162.52854803</v>
      </c>
      <c r="K136" s="168">
        <v>377.64719819205203</v>
      </c>
      <c r="L136" s="168">
        <v>2742.376920976827</v>
      </c>
      <c r="M136" s="120"/>
      <c r="N136" s="120"/>
    </row>
    <row r="137" spans="1:14" s="121" customFormat="1" ht="14.5">
      <c r="A137" s="471">
        <v>2022</v>
      </c>
      <c r="B137" s="454" t="s">
        <v>105</v>
      </c>
      <c r="C137" s="170">
        <f t="shared" si="9"/>
        <v>19152.550563839894</v>
      </c>
      <c r="D137" s="170">
        <f t="shared" si="10"/>
        <v>15875.75986237783</v>
      </c>
      <c r="E137" s="170">
        <v>4858.4871375094781</v>
      </c>
      <c r="F137" s="170">
        <v>4516.4404957899069</v>
      </c>
      <c r="G137" s="170">
        <v>6406.927976816728</v>
      </c>
      <c r="H137" s="170">
        <v>93.90425226171898</v>
      </c>
      <c r="I137" s="136">
        <f t="shared" si="8"/>
        <v>482.006828340352</v>
      </c>
      <c r="J137" s="170">
        <v>84.181665210000006</v>
      </c>
      <c r="K137" s="170">
        <v>397.825163130352</v>
      </c>
      <c r="L137" s="170">
        <v>2794.7838731217093</v>
      </c>
      <c r="M137" s="120"/>
      <c r="N137" s="120"/>
    </row>
    <row r="138" spans="1:14" s="121" customFormat="1" ht="14.5">
      <c r="A138" s="472"/>
      <c r="B138" s="455" t="s">
        <v>106</v>
      </c>
      <c r="C138" s="166">
        <f t="shared" si="9"/>
        <v>18674.831531035677</v>
      </c>
      <c r="D138" s="166">
        <f t="shared" si="10"/>
        <v>15377.107114970835</v>
      </c>
      <c r="E138" s="166">
        <v>4860.5332082275336</v>
      </c>
      <c r="F138" s="166">
        <v>4578.8991470292067</v>
      </c>
      <c r="G138" s="166">
        <v>5840.4857292414881</v>
      </c>
      <c r="H138" s="166">
        <v>97.189030472605722</v>
      </c>
      <c r="I138" s="139">
        <f t="shared" si="8"/>
        <v>503.40173485405006</v>
      </c>
      <c r="J138" s="166">
        <v>40.577037190000006</v>
      </c>
      <c r="K138" s="166">
        <v>462.82469766405006</v>
      </c>
      <c r="L138" s="166">
        <v>2794.3226812107941</v>
      </c>
      <c r="M138" s="120"/>
      <c r="N138" s="120"/>
    </row>
    <row r="139" spans="1:14" s="121" customFormat="1" ht="14.5">
      <c r="A139" s="472"/>
      <c r="B139" s="455" t="s">
        <v>107</v>
      </c>
      <c r="C139" s="166">
        <f t="shared" si="9"/>
        <v>19767.178152835877</v>
      </c>
      <c r="D139" s="166">
        <f t="shared" si="10"/>
        <v>16651.688724953598</v>
      </c>
      <c r="E139" s="166">
        <v>6660.9608649557631</v>
      </c>
      <c r="F139" s="166">
        <v>4737.414755801432</v>
      </c>
      <c r="G139" s="166">
        <v>5157.6561991696099</v>
      </c>
      <c r="H139" s="166">
        <v>95.656905026792998</v>
      </c>
      <c r="I139" s="139">
        <f t="shared" si="8"/>
        <v>397.34978188448349</v>
      </c>
      <c r="J139" s="166">
        <v>47.585735040000003</v>
      </c>
      <c r="K139" s="166">
        <v>349.76404684448346</v>
      </c>
      <c r="L139" s="166">
        <v>2718.1396459977968</v>
      </c>
      <c r="M139" s="120"/>
      <c r="N139" s="120"/>
    </row>
    <row r="140" spans="1:14" s="121" customFormat="1" ht="14.5">
      <c r="A140" s="472"/>
      <c r="B140" s="455" t="s">
        <v>108</v>
      </c>
      <c r="C140" s="166">
        <f t="shared" ref="C140:C157" si="11">D140+I140+L140</f>
        <v>19038.795637337425</v>
      </c>
      <c r="D140" s="166">
        <f t="shared" ref="D140:D157" si="12">E140+F140+G140+H140</f>
        <v>15849.167565924556</v>
      </c>
      <c r="E140" s="166">
        <v>4961.1629840031437</v>
      </c>
      <c r="F140" s="166">
        <v>4590.6537259400411</v>
      </c>
      <c r="G140" s="166">
        <v>6199.9697558142971</v>
      </c>
      <c r="H140" s="166">
        <v>97.381100167072063</v>
      </c>
      <c r="I140" s="139">
        <f t="shared" si="8"/>
        <v>369.76403867450898</v>
      </c>
      <c r="J140" s="166">
        <v>58.11388888431901</v>
      </c>
      <c r="K140" s="166">
        <v>311.65014979018997</v>
      </c>
      <c r="L140" s="166">
        <v>2819.8640327383614</v>
      </c>
      <c r="M140" s="120"/>
      <c r="N140" s="120"/>
    </row>
    <row r="141" spans="1:14" s="121" customFormat="1" ht="14.5">
      <c r="A141" s="472"/>
      <c r="B141" s="455" t="s">
        <v>109</v>
      </c>
      <c r="C141" s="166">
        <f t="shared" si="11"/>
        <v>19186.379762814478</v>
      </c>
      <c r="D141" s="166">
        <f t="shared" si="12"/>
        <v>16014.262689480312</v>
      </c>
      <c r="E141" s="166">
        <v>5275.7946145820515</v>
      </c>
      <c r="F141" s="166">
        <v>4558.1350442869834</v>
      </c>
      <c r="G141" s="166">
        <v>6079.1602375699749</v>
      </c>
      <c r="H141" s="166">
        <v>101.17279304130302</v>
      </c>
      <c r="I141" s="139">
        <f t="shared" si="8"/>
        <v>366.780087969747</v>
      </c>
      <c r="J141" s="166">
        <v>75.637658889538997</v>
      </c>
      <c r="K141" s="166">
        <v>291.14242908020799</v>
      </c>
      <c r="L141" s="166">
        <v>2805.3369853644167</v>
      </c>
      <c r="M141" s="120"/>
      <c r="N141" s="120"/>
    </row>
    <row r="142" spans="1:14" s="121" customFormat="1" ht="14.5">
      <c r="A142" s="472"/>
      <c r="B142" s="455" t="s">
        <v>110</v>
      </c>
      <c r="C142" s="166">
        <f t="shared" si="11"/>
        <v>20267.405882708274</v>
      </c>
      <c r="D142" s="166">
        <f t="shared" si="12"/>
        <v>16687.962048660112</v>
      </c>
      <c r="E142" s="166">
        <v>5107.1910304461089</v>
      </c>
      <c r="F142" s="166">
        <v>4558.1375636202429</v>
      </c>
      <c r="G142" s="166">
        <v>6936.9235804043456</v>
      </c>
      <c r="H142" s="166">
        <v>85.709874189416638</v>
      </c>
      <c r="I142" s="139">
        <f t="shared" si="8"/>
        <v>716.23207758103445</v>
      </c>
      <c r="J142" s="166">
        <v>82.483978977060005</v>
      </c>
      <c r="K142" s="166">
        <v>633.74809860397443</v>
      </c>
      <c r="L142" s="166">
        <v>2863.211756467128</v>
      </c>
      <c r="M142" s="120"/>
      <c r="N142" s="120"/>
    </row>
    <row r="143" spans="1:14" s="121" customFormat="1" ht="14.5">
      <c r="A143" s="472"/>
      <c r="B143" s="455" t="s">
        <v>117</v>
      </c>
      <c r="C143" s="166">
        <f t="shared" si="11"/>
        <v>20042.359610945259</v>
      </c>
      <c r="D143" s="166">
        <f t="shared" si="12"/>
        <v>16887.186519797546</v>
      </c>
      <c r="E143" s="166">
        <v>4951.3997091692099</v>
      </c>
      <c r="F143" s="166">
        <v>4733.9394687412196</v>
      </c>
      <c r="G143" s="166">
        <v>7107.9451751258557</v>
      </c>
      <c r="H143" s="166">
        <v>93.902166761263274</v>
      </c>
      <c r="I143" s="139">
        <f t="shared" si="8"/>
        <v>278.39990373800947</v>
      </c>
      <c r="J143" s="166">
        <v>102.303813743592</v>
      </c>
      <c r="K143" s="166">
        <v>176.0960899944175</v>
      </c>
      <c r="L143" s="166">
        <v>2876.7731874097053</v>
      </c>
      <c r="M143" s="120"/>
      <c r="N143" s="120"/>
    </row>
    <row r="144" spans="1:14" s="121" customFormat="1" ht="14.5">
      <c r="A144" s="472"/>
      <c r="B144" s="455" t="s">
        <v>112</v>
      </c>
      <c r="C144" s="166">
        <f t="shared" si="11"/>
        <v>19360.532887400652</v>
      </c>
      <c r="D144" s="166">
        <f t="shared" si="12"/>
        <v>16179.478449582632</v>
      </c>
      <c r="E144" s="166">
        <v>4767.2326355711875</v>
      </c>
      <c r="F144" s="166">
        <v>4670.8204823525502</v>
      </c>
      <c r="G144" s="166">
        <v>6650.9281137032249</v>
      </c>
      <c r="H144" s="166">
        <v>90.497217955669996</v>
      </c>
      <c r="I144" s="139">
        <f t="shared" si="8"/>
        <v>305.55128510851199</v>
      </c>
      <c r="J144" s="166">
        <v>123.586543970544</v>
      </c>
      <c r="K144" s="166">
        <v>181.96474113796799</v>
      </c>
      <c r="L144" s="166">
        <v>2875.5031527095098</v>
      </c>
      <c r="M144" s="120"/>
      <c r="N144" s="120"/>
    </row>
    <row r="145" spans="1:14" s="121" customFormat="1" ht="14.5">
      <c r="A145" s="472"/>
      <c r="B145" s="455" t="s">
        <v>113</v>
      </c>
      <c r="C145" s="166">
        <f t="shared" si="11"/>
        <v>20817.777691606258</v>
      </c>
      <c r="D145" s="166">
        <f t="shared" si="12"/>
        <v>17557.005784538927</v>
      </c>
      <c r="E145" s="166">
        <v>6222.0967164826707</v>
      </c>
      <c r="F145" s="166">
        <v>4659.5243459029607</v>
      </c>
      <c r="G145" s="166">
        <v>6576.7409616777832</v>
      </c>
      <c r="H145" s="166">
        <v>98.643760475511073</v>
      </c>
      <c r="I145" s="139">
        <f t="shared" si="8"/>
        <v>270.010893065586</v>
      </c>
      <c r="J145" s="166">
        <v>112.49304796720099</v>
      </c>
      <c r="K145" s="166">
        <v>157.51784509838501</v>
      </c>
      <c r="L145" s="166">
        <v>2990.7610140017459</v>
      </c>
      <c r="M145" s="120"/>
      <c r="N145" s="120"/>
    </row>
    <row r="146" spans="1:14" s="121" customFormat="1" ht="14.5">
      <c r="A146" s="472"/>
      <c r="B146" s="455" t="s">
        <v>114</v>
      </c>
      <c r="C146" s="166">
        <f t="shared" si="11"/>
        <v>19950.629488253959</v>
      </c>
      <c r="D146" s="166">
        <f t="shared" si="12"/>
        <v>16841.999366949265</v>
      </c>
      <c r="E146" s="166">
        <v>4799.0477662523717</v>
      </c>
      <c r="F146" s="166">
        <v>4476.0463605714303</v>
      </c>
      <c r="G146" s="166">
        <v>7469.3503198631379</v>
      </c>
      <c r="H146" s="166">
        <v>97.554920262327002</v>
      </c>
      <c r="I146" s="139">
        <f t="shared" si="8"/>
        <v>274.29996160167303</v>
      </c>
      <c r="J146" s="166">
        <v>119.06128743158001</v>
      </c>
      <c r="K146" s="166">
        <v>155.23867417009302</v>
      </c>
      <c r="L146" s="166">
        <v>2834.3301597030213</v>
      </c>
      <c r="M146" s="120"/>
      <c r="N146" s="120"/>
    </row>
    <row r="147" spans="1:14" s="121" customFormat="1" ht="14.5">
      <c r="A147" s="472"/>
      <c r="B147" s="455" t="s">
        <v>115</v>
      </c>
      <c r="C147" s="166">
        <f t="shared" si="11"/>
        <v>19335.324756648886</v>
      </c>
      <c r="D147" s="166">
        <f t="shared" si="12"/>
        <v>16197.809126172122</v>
      </c>
      <c r="E147" s="166">
        <v>4750.3588269962265</v>
      </c>
      <c r="F147" s="166">
        <v>4467.3442393711784</v>
      </c>
      <c r="G147" s="166">
        <v>6891.8349961920112</v>
      </c>
      <c r="H147" s="166">
        <v>88.271063612706172</v>
      </c>
      <c r="I147" s="139">
        <f t="shared" ref="I147:I178" si="13">J147+K147</f>
        <v>245.00888670562705</v>
      </c>
      <c r="J147" s="166">
        <v>83.724032385627012</v>
      </c>
      <c r="K147" s="166">
        <v>161.28485432000002</v>
      </c>
      <c r="L147" s="166">
        <v>2892.5067437711355</v>
      </c>
      <c r="M147" s="120"/>
      <c r="N147" s="120"/>
    </row>
    <row r="148" spans="1:14" s="121" customFormat="1" ht="14.5">
      <c r="A148" s="473"/>
      <c r="B148" s="456" t="s">
        <v>116</v>
      </c>
      <c r="C148" s="168">
        <f t="shared" si="11"/>
        <v>20681.291078581831</v>
      </c>
      <c r="D148" s="168">
        <f t="shared" si="12"/>
        <v>17309.38226167285</v>
      </c>
      <c r="E148" s="168">
        <v>4885.0605794314688</v>
      </c>
      <c r="F148" s="168">
        <v>4637.0128662030438</v>
      </c>
      <c r="G148" s="168">
        <v>7704.374906718841</v>
      </c>
      <c r="H148" s="168">
        <v>82.933909319496038</v>
      </c>
      <c r="I148" s="142">
        <f t="shared" si="13"/>
        <v>285.39354743677399</v>
      </c>
      <c r="J148" s="168">
        <v>68.769129336774</v>
      </c>
      <c r="K148" s="168">
        <v>216.62441809999999</v>
      </c>
      <c r="L148" s="168">
        <v>3086.515269472206</v>
      </c>
      <c r="M148" s="120"/>
      <c r="N148" s="120"/>
    </row>
    <row r="149" spans="1:14" s="121" customFormat="1" ht="14.5">
      <c r="A149" s="471">
        <v>2023</v>
      </c>
      <c r="B149" s="454" t="s">
        <v>105</v>
      </c>
      <c r="C149" s="170">
        <f t="shared" si="11"/>
        <v>20015.793300490524</v>
      </c>
      <c r="D149" s="170">
        <f t="shared" si="12"/>
        <v>16699.675877630434</v>
      </c>
      <c r="E149" s="170">
        <v>4969.1950536851718</v>
      </c>
      <c r="F149" s="170">
        <v>4377.8108890679978</v>
      </c>
      <c r="G149" s="170">
        <v>7272.260186262135</v>
      </c>
      <c r="H149" s="170">
        <v>80.409748615128848</v>
      </c>
      <c r="I149" s="136">
        <f t="shared" si="13"/>
        <v>231.93959591831799</v>
      </c>
      <c r="J149" s="170">
        <v>53.074906988318006</v>
      </c>
      <c r="K149" s="170">
        <v>178.86468893</v>
      </c>
      <c r="L149" s="170">
        <v>3084.1778269417746</v>
      </c>
      <c r="M149" s="120"/>
      <c r="N149" s="120"/>
    </row>
    <row r="150" spans="1:14" s="121" customFormat="1" ht="14.5">
      <c r="A150" s="472"/>
      <c r="B150" s="455" t="s">
        <v>106</v>
      </c>
      <c r="C150" s="166">
        <f t="shared" si="11"/>
        <v>19828.934333310081</v>
      </c>
      <c r="D150" s="166">
        <f t="shared" si="12"/>
        <v>16419.238623002308</v>
      </c>
      <c r="E150" s="166">
        <v>4826.2498491959514</v>
      </c>
      <c r="F150" s="166">
        <v>4439.6637251969732</v>
      </c>
      <c r="G150" s="166">
        <v>7072.6394943771566</v>
      </c>
      <c r="H150" s="166">
        <v>80.68555423222729</v>
      </c>
      <c r="I150" s="139">
        <f t="shared" si="13"/>
        <v>192.80630049720847</v>
      </c>
      <c r="J150" s="166">
        <v>52.041820064207997</v>
      </c>
      <c r="K150" s="166">
        <v>140.76448043300047</v>
      </c>
      <c r="L150" s="166">
        <v>3216.889409810562</v>
      </c>
      <c r="M150" s="120"/>
      <c r="N150" s="120"/>
    </row>
    <row r="151" spans="1:14" s="121" customFormat="1" ht="14.5">
      <c r="A151" s="472"/>
      <c r="B151" s="455" t="s">
        <v>107</v>
      </c>
      <c r="C151" s="166">
        <f t="shared" si="11"/>
        <v>20013.29225730582</v>
      </c>
      <c r="D151" s="166">
        <f t="shared" si="12"/>
        <v>16776.407655668783</v>
      </c>
      <c r="E151" s="166">
        <v>5746.6535883971219</v>
      </c>
      <c r="F151" s="166">
        <v>4458.7340429741162</v>
      </c>
      <c r="G151" s="166">
        <v>6493.3496013045642</v>
      </c>
      <c r="H151" s="166">
        <v>77.670422992977038</v>
      </c>
      <c r="I151" s="139">
        <f t="shared" si="13"/>
        <v>181.55505151064401</v>
      </c>
      <c r="J151" s="166">
        <v>25.043449755473002</v>
      </c>
      <c r="K151" s="166">
        <v>156.511601755171</v>
      </c>
      <c r="L151" s="166">
        <v>3055.3295501263942</v>
      </c>
      <c r="M151" s="120"/>
      <c r="N151" s="120"/>
    </row>
    <row r="152" spans="1:14" s="121" customFormat="1" ht="14.5">
      <c r="A152" s="472"/>
      <c r="B152" s="455" t="s">
        <v>108</v>
      </c>
      <c r="C152" s="166">
        <f t="shared" si="11"/>
        <v>19287.353458173206</v>
      </c>
      <c r="D152" s="166">
        <f t="shared" si="12"/>
        <v>16150.083853071537</v>
      </c>
      <c r="E152" s="166">
        <v>4901.0415146347959</v>
      </c>
      <c r="F152" s="166">
        <v>4363.6812922904983</v>
      </c>
      <c r="G152" s="166">
        <v>6800.9678720854936</v>
      </c>
      <c r="H152" s="166">
        <v>84.39317406074889</v>
      </c>
      <c r="I152" s="139">
        <f t="shared" si="13"/>
        <v>214.54804104306601</v>
      </c>
      <c r="J152" s="166">
        <v>24.062406788707001</v>
      </c>
      <c r="K152" s="166">
        <v>190.48563425435901</v>
      </c>
      <c r="L152" s="166">
        <v>2922.7215640586032</v>
      </c>
      <c r="M152" s="120"/>
      <c r="N152" s="120"/>
    </row>
    <row r="153" spans="1:14" s="121" customFormat="1" ht="14.5">
      <c r="A153" s="472"/>
      <c r="B153" s="455" t="s">
        <v>109</v>
      </c>
      <c r="C153" s="166">
        <f t="shared" si="11"/>
        <v>19275.72529200108</v>
      </c>
      <c r="D153" s="166">
        <f t="shared" si="12"/>
        <v>15847.952172629364</v>
      </c>
      <c r="E153" s="166">
        <v>4783.2412957483375</v>
      </c>
      <c r="F153" s="166">
        <v>4434.7125909427295</v>
      </c>
      <c r="G153" s="166">
        <v>6539.7512305741475</v>
      </c>
      <c r="H153" s="166">
        <v>90.24705536415064</v>
      </c>
      <c r="I153" s="139">
        <f t="shared" si="13"/>
        <v>320.86960181489701</v>
      </c>
      <c r="J153" s="166">
        <v>34.693765484897</v>
      </c>
      <c r="K153" s="166">
        <v>286.17583632999998</v>
      </c>
      <c r="L153" s="166">
        <v>3106.9035175568206</v>
      </c>
      <c r="M153" s="120"/>
      <c r="N153" s="120"/>
    </row>
    <row r="154" spans="1:14" s="121" customFormat="1" ht="14.5">
      <c r="A154" s="472"/>
      <c r="B154" s="455" t="s">
        <v>110</v>
      </c>
      <c r="C154" s="166">
        <f t="shared" si="11"/>
        <v>19859.062660131611</v>
      </c>
      <c r="D154" s="166">
        <f t="shared" si="12"/>
        <v>16350.073730159991</v>
      </c>
      <c r="E154" s="166">
        <v>5437.7742941250226</v>
      </c>
      <c r="F154" s="166">
        <v>4463.468174387147</v>
      </c>
      <c r="G154" s="166">
        <v>6349.8530207294198</v>
      </c>
      <c r="H154" s="166">
        <v>98.978240918400147</v>
      </c>
      <c r="I154" s="139">
        <f t="shared" si="13"/>
        <v>195.14335540807599</v>
      </c>
      <c r="J154" s="166">
        <v>17.787771928075998</v>
      </c>
      <c r="K154" s="166">
        <v>177.35558348000001</v>
      </c>
      <c r="L154" s="166">
        <v>3313.8455745635429</v>
      </c>
      <c r="M154" s="120"/>
      <c r="N154" s="120"/>
    </row>
    <row r="155" spans="1:14" s="121" customFormat="1" ht="14.5">
      <c r="A155" s="472"/>
      <c r="B155" s="455" t="s">
        <v>117</v>
      </c>
      <c r="C155" s="166">
        <f t="shared" si="11"/>
        <v>19416.854696895069</v>
      </c>
      <c r="D155" s="166">
        <f t="shared" si="12"/>
        <v>16020.136346491941</v>
      </c>
      <c r="E155" s="166">
        <v>4710.3640010643303</v>
      </c>
      <c r="F155" s="166">
        <v>4346.6898306481698</v>
      </c>
      <c r="G155" s="166">
        <v>6854.6607178253125</v>
      </c>
      <c r="H155" s="166">
        <v>108.42179695412905</v>
      </c>
      <c r="I155" s="139">
        <f t="shared" si="13"/>
        <v>225.95525138243502</v>
      </c>
      <c r="J155" s="166">
        <v>15.551774292435001</v>
      </c>
      <c r="K155" s="166">
        <v>210.40347709000002</v>
      </c>
      <c r="L155" s="166">
        <v>3170.7630990206922</v>
      </c>
      <c r="M155" s="120"/>
      <c r="N155" s="120"/>
    </row>
    <row r="156" spans="1:14" s="121" customFormat="1" ht="14.5">
      <c r="A156" s="472"/>
      <c r="B156" s="455" t="s">
        <v>112</v>
      </c>
      <c r="C156" s="166">
        <f t="shared" si="11"/>
        <v>19217.887772226477</v>
      </c>
      <c r="D156" s="166">
        <f t="shared" si="12"/>
        <v>15808.665220649151</v>
      </c>
      <c r="E156" s="166">
        <v>4744.3290794012864</v>
      </c>
      <c r="F156" s="166">
        <v>4392.7248337578567</v>
      </c>
      <c r="G156" s="166">
        <v>6583.2187921525092</v>
      </c>
      <c r="H156" s="166">
        <v>88.392515337498864</v>
      </c>
      <c r="I156" s="139">
        <f t="shared" si="13"/>
        <v>218.26514578573799</v>
      </c>
      <c r="J156" s="166">
        <v>15.262130375738002</v>
      </c>
      <c r="K156" s="166">
        <v>203.00301540999999</v>
      </c>
      <c r="L156" s="166">
        <v>3190.9574057915902</v>
      </c>
      <c r="M156" s="120"/>
      <c r="N156" s="120"/>
    </row>
    <row r="157" spans="1:14" s="121" customFormat="1" ht="14.5">
      <c r="A157" s="472"/>
      <c r="B157" s="455" t="s">
        <v>113</v>
      </c>
      <c r="C157" s="166">
        <f t="shared" si="11"/>
        <v>19427.823642969692</v>
      </c>
      <c r="D157" s="166">
        <f t="shared" si="12"/>
        <v>15891.107477745145</v>
      </c>
      <c r="E157" s="166">
        <v>5530.79011548576</v>
      </c>
      <c r="F157" s="166">
        <v>4358.9272098181427</v>
      </c>
      <c r="G157" s="166">
        <v>5909.235478926732</v>
      </c>
      <c r="H157" s="166">
        <v>92.154673514509255</v>
      </c>
      <c r="I157" s="139">
        <f t="shared" si="13"/>
        <v>274.37265738142997</v>
      </c>
      <c r="J157" s="166">
        <v>10.66655910143</v>
      </c>
      <c r="K157" s="166">
        <v>263.70609827999999</v>
      </c>
      <c r="L157" s="166">
        <v>3262.3435078431166</v>
      </c>
      <c r="M157" s="120"/>
      <c r="N157" s="120"/>
    </row>
    <row r="158" spans="1:14" s="121" customFormat="1" ht="14.5">
      <c r="A158" s="472"/>
      <c r="B158" s="455" t="s">
        <v>114</v>
      </c>
      <c r="C158" s="166">
        <f t="shared" ref="C158:C160" si="14">D158+I158+L158</f>
        <v>19303.629804835873</v>
      </c>
      <c r="D158" s="166">
        <f t="shared" ref="D158:D160" si="15">E158+F158+G158+H158</f>
        <v>15798.1938954039</v>
      </c>
      <c r="E158" s="166">
        <v>4817.3111111471862</v>
      </c>
      <c r="F158" s="166">
        <v>4270.1820580775711</v>
      </c>
      <c r="G158" s="166">
        <v>6614.931267600231</v>
      </c>
      <c r="H158" s="166">
        <v>95.769458578911113</v>
      </c>
      <c r="I158" s="139">
        <f t="shared" si="13"/>
        <v>307.10854154505597</v>
      </c>
      <c r="J158" s="166">
        <v>1.0962185350559999</v>
      </c>
      <c r="K158" s="166">
        <v>306.01232300999999</v>
      </c>
      <c r="L158" s="166">
        <v>3198.3273678869164</v>
      </c>
      <c r="M158" s="120"/>
      <c r="N158" s="120"/>
    </row>
    <row r="159" spans="1:14" s="121" customFormat="1" ht="14.5">
      <c r="A159" s="472"/>
      <c r="B159" s="455" t="s">
        <v>115</v>
      </c>
      <c r="C159" s="166">
        <f t="shared" si="14"/>
        <v>19283.949172070152</v>
      </c>
      <c r="D159" s="166">
        <f t="shared" si="15"/>
        <v>15653.903508787225</v>
      </c>
      <c r="E159" s="166">
        <v>4966.7857468370776</v>
      </c>
      <c r="F159" s="166">
        <v>4244.328098303381</v>
      </c>
      <c r="G159" s="166">
        <v>6347.0860068286775</v>
      </c>
      <c r="H159" s="166">
        <v>95.703656818087978</v>
      </c>
      <c r="I159" s="139">
        <f t="shared" si="13"/>
        <v>344.77427944320902</v>
      </c>
      <c r="J159" s="166">
        <v>7.6283002732089997</v>
      </c>
      <c r="K159" s="166">
        <v>337.14597917000003</v>
      </c>
      <c r="L159" s="166">
        <v>3285.2713838397171</v>
      </c>
      <c r="M159" s="120"/>
      <c r="N159" s="120"/>
    </row>
    <row r="160" spans="1:14" s="121" customFormat="1" ht="14.5">
      <c r="A160" s="473"/>
      <c r="B160" s="456" t="s">
        <v>116</v>
      </c>
      <c r="C160" s="168">
        <f t="shared" si="14"/>
        <v>19811.265933656119</v>
      </c>
      <c r="D160" s="168">
        <f t="shared" si="15"/>
        <v>16092.367981100218</v>
      </c>
      <c r="E160" s="168">
        <v>4959.4013641431329</v>
      </c>
      <c r="F160" s="168">
        <v>4429.9815308703082</v>
      </c>
      <c r="G160" s="168">
        <v>6610.4741102106927</v>
      </c>
      <c r="H160" s="168">
        <v>92.510975876084686</v>
      </c>
      <c r="I160" s="142">
        <f t="shared" si="13"/>
        <v>513.845025465199</v>
      </c>
      <c r="J160" s="168">
        <v>59.109844875199002</v>
      </c>
      <c r="K160" s="168">
        <v>454.73518059000003</v>
      </c>
      <c r="L160" s="168">
        <v>3205.0529270907045</v>
      </c>
      <c r="M160" s="120"/>
      <c r="N160" s="120"/>
    </row>
    <row r="161" spans="1:14" s="121" customFormat="1" ht="14.5">
      <c r="A161" s="471">
        <v>2024</v>
      </c>
      <c r="B161" s="454" t="s">
        <v>105</v>
      </c>
      <c r="C161" s="170">
        <f t="shared" ref="C161:C166" si="16">D161+I161+L161</f>
        <v>19881.19045029307</v>
      </c>
      <c r="D161" s="170">
        <f t="shared" ref="D161:D166" si="17">E161+F161+G161+H161</f>
        <v>16099.338737038963</v>
      </c>
      <c r="E161" s="170">
        <v>5139.581068843253</v>
      </c>
      <c r="F161" s="170">
        <v>4406.586214820577</v>
      </c>
      <c r="G161" s="170">
        <v>6465.3704189482387</v>
      </c>
      <c r="H161" s="170">
        <v>87.801034426893068</v>
      </c>
      <c r="I161" s="136">
        <f t="shared" si="13"/>
        <v>389.45312761534944</v>
      </c>
      <c r="J161" s="170">
        <v>64.308362623383999</v>
      </c>
      <c r="K161" s="170">
        <v>325.14476499196547</v>
      </c>
      <c r="L161" s="170">
        <v>3392.3985856387608</v>
      </c>
      <c r="M161" s="120"/>
      <c r="N161" s="120"/>
    </row>
    <row r="162" spans="1:14" s="121" customFormat="1" ht="14.5">
      <c r="A162" s="472"/>
      <c r="B162" s="455" t="s">
        <v>106</v>
      </c>
      <c r="C162" s="166">
        <f t="shared" si="16"/>
        <v>19658.947189320246</v>
      </c>
      <c r="D162" s="166">
        <f t="shared" si="17"/>
        <v>15642.955725960081</v>
      </c>
      <c r="E162" s="166">
        <v>5002.0117885075533</v>
      </c>
      <c r="F162" s="166">
        <v>4336.0535181490786</v>
      </c>
      <c r="G162" s="166">
        <v>6232.0459155168865</v>
      </c>
      <c r="H162" s="166">
        <v>72.844503786562939</v>
      </c>
      <c r="I162" s="139">
        <f t="shared" si="13"/>
        <v>529.56252113062556</v>
      </c>
      <c r="J162" s="166">
        <v>63.585622048093008</v>
      </c>
      <c r="K162" s="166">
        <v>465.9768990825325</v>
      </c>
      <c r="L162" s="166">
        <v>3486.4289422295419</v>
      </c>
      <c r="M162" s="120"/>
      <c r="N162" s="120"/>
    </row>
    <row r="163" spans="1:14" s="121" customFormat="1" ht="14.5">
      <c r="A163" s="472"/>
      <c r="B163" s="455" t="s">
        <v>107</v>
      </c>
      <c r="C163" s="166">
        <f t="shared" si="16"/>
        <v>20440.378158069831</v>
      </c>
      <c r="D163" s="166">
        <f t="shared" si="17"/>
        <v>16420.675473379524</v>
      </c>
      <c r="E163" s="166">
        <v>5348.3368072107151</v>
      </c>
      <c r="F163" s="166">
        <v>4388.0460437686743</v>
      </c>
      <c r="G163" s="166">
        <v>6607.1905616660943</v>
      </c>
      <c r="H163" s="166">
        <v>77.102060734040762</v>
      </c>
      <c r="I163" s="139">
        <f t="shared" si="13"/>
        <v>556.46472325903039</v>
      </c>
      <c r="J163" s="166">
        <v>59.889464283210003</v>
      </c>
      <c r="K163" s="166">
        <v>496.57525897582042</v>
      </c>
      <c r="L163" s="166">
        <v>3463.2379614312786</v>
      </c>
      <c r="M163" s="120"/>
      <c r="N163" s="120"/>
    </row>
    <row r="164" spans="1:14" s="121" customFormat="1" ht="14.5">
      <c r="A164" s="472"/>
      <c r="B164" s="455" t="s">
        <v>108</v>
      </c>
      <c r="C164" s="166">
        <f t="shared" si="16"/>
        <v>19948.96148658761</v>
      </c>
      <c r="D164" s="166">
        <f t="shared" si="17"/>
        <v>16207.673578910353</v>
      </c>
      <c r="E164" s="166">
        <v>5066.6522615042522</v>
      </c>
      <c r="F164" s="166">
        <v>4400.3853063640972</v>
      </c>
      <c r="G164" s="166">
        <v>6665.4329608749995</v>
      </c>
      <c r="H164" s="166">
        <v>75.203050167004363</v>
      </c>
      <c r="I164" s="139">
        <f t="shared" si="13"/>
        <v>514.63883960779197</v>
      </c>
      <c r="J164" s="166">
        <v>57.512544005916006</v>
      </c>
      <c r="K164" s="166">
        <v>457.126295601876</v>
      </c>
      <c r="L164" s="166">
        <v>3226.649068069466</v>
      </c>
      <c r="M164" s="120"/>
      <c r="N164" s="120"/>
    </row>
    <row r="165" spans="1:14" s="121" customFormat="1" ht="14.5">
      <c r="A165" s="472"/>
      <c r="B165" s="455" t="s">
        <v>109</v>
      </c>
      <c r="C165" s="166">
        <f t="shared" si="16"/>
        <v>19787.662404003455</v>
      </c>
      <c r="D165" s="166">
        <f t="shared" si="17"/>
        <v>15901.181476229556</v>
      </c>
      <c r="E165" s="166">
        <v>4672.1154333749055</v>
      </c>
      <c r="F165" s="166">
        <v>4383.4523117400913</v>
      </c>
      <c r="G165" s="166">
        <v>6774.1224708946656</v>
      </c>
      <c r="H165" s="166">
        <v>71.491260219895111</v>
      </c>
      <c r="I165" s="139">
        <f t="shared" si="13"/>
        <v>487.15488583446995</v>
      </c>
      <c r="J165" s="166">
        <v>66.197955910844996</v>
      </c>
      <c r="K165" s="166">
        <v>420.95692992362495</v>
      </c>
      <c r="L165" s="166">
        <v>3399.3260419394296</v>
      </c>
      <c r="M165" s="120"/>
      <c r="N165" s="120"/>
    </row>
    <row r="166" spans="1:14" s="121" customFormat="1" ht="14.5">
      <c r="A166" s="472"/>
      <c r="B166" s="455" t="s">
        <v>110</v>
      </c>
      <c r="C166" s="166">
        <f t="shared" si="16"/>
        <v>20178.611807867575</v>
      </c>
      <c r="D166" s="166">
        <f t="shared" si="17"/>
        <v>15980.331211245364</v>
      </c>
      <c r="E166" s="166">
        <v>5088.9342703065049</v>
      </c>
      <c r="F166" s="166">
        <v>4387.3951012161942</v>
      </c>
      <c r="G166" s="166">
        <v>6430.3037719431459</v>
      </c>
      <c r="H166" s="166">
        <v>73.698067779518922</v>
      </c>
      <c r="I166" s="139">
        <f t="shared" si="13"/>
        <v>597.77604241284962</v>
      </c>
      <c r="J166" s="166">
        <v>57.700444343443003</v>
      </c>
      <c r="K166" s="166">
        <v>540.07559806940662</v>
      </c>
      <c r="L166" s="166">
        <v>3600.5045542093621</v>
      </c>
      <c r="M166" s="120"/>
      <c r="N166" s="120"/>
    </row>
    <row r="167" spans="1:14" s="121" customFormat="1" ht="14.5">
      <c r="A167" s="472"/>
      <c r="B167" s="455" t="s">
        <v>117</v>
      </c>
      <c r="C167" s="173">
        <f t="shared" ref="C167:C169" si="18">D167+I167+L167</f>
        <v>19839.323088298472</v>
      </c>
      <c r="D167" s="166">
        <f t="shared" ref="D167:D169" si="19">E167+F167+G167+H167</f>
        <v>15833.637868777681</v>
      </c>
      <c r="E167" s="166">
        <v>4603.3264881288314</v>
      </c>
      <c r="F167" s="166">
        <v>4346.8772315035803</v>
      </c>
      <c r="G167" s="166">
        <v>6809.9188841967189</v>
      </c>
      <c r="H167" s="166">
        <v>73.51526494854977</v>
      </c>
      <c r="I167" s="139">
        <f t="shared" si="13"/>
        <v>560.24153421189339</v>
      </c>
      <c r="J167" s="166">
        <v>82.785598706271003</v>
      </c>
      <c r="K167" s="166">
        <v>477.45593550562245</v>
      </c>
      <c r="L167" s="166">
        <v>3445.4436853088973</v>
      </c>
      <c r="M167" s="120"/>
      <c r="N167" s="120"/>
    </row>
    <row r="168" spans="1:14" s="121" customFormat="1" ht="14.5">
      <c r="A168" s="472"/>
      <c r="B168" s="455" t="s">
        <v>112</v>
      </c>
      <c r="C168" s="166">
        <f t="shared" si="18"/>
        <v>19509.06889119438</v>
      </c>
      <c r="D168" s="166">
        <f t="shared" si="19"/>
        <v>15381.962611286366</v>
      </c>
      <c r="E168" s="166">
        <v>4549.1615676305892</v>
      </c>
      <c r="F168" s="166">
        <v>4198.5475236115772</v>
      </c>
      <c r="G168" s="166">
        <v>6544.4850913998916</v>
      </c>
      <c r="H168" s="166">
        <v>89.768428644308145</v>
      </c>
      <c r="I168" s="139">
        <f t="shared" si="13"/>
        <v>601.61747376351104</v>
      </c>
      <c r="J168" s="166">
        <v>56.989836644953002</v>
      </c>
      <c r="K168" s="166">
        <v>544.62763711855803</v>
      </c>
      <c r="L168" s="166">
        <v>3525.4888061445008</v>
      </c>
      <c r="M168" s="120"/>
      <c r="N168" s="120"/>
    </row>
    <row r="169" spans="1:14" s="121" customFormat="1" ht="14.5">
      <c r="A169" s="472"/>
      <c r="B169" s="455" t="s">
        <v>113</v>
      </c>
      <c r="C169" s="166">
        <f t="shared" si="18"/>
        <v>20044.049943462611</v>
      </c>
      <c r="D169" s="166">
        <f t="shared" si="19"/>
        <v>15767.315509661132</v>
      </c>
      <c r="E169" s="166">
        <v>4569.2342297279438</v>
      </c>
      <c r="F169" s="166">
        <v>4251.2059122900746</v>
      </c>
      <c r="G169" s="166">
        <v>6853.4107251855821</v>
      </c>
      <c r="H169" s="166">
        <v>93.464642457530985</v>
      </c>
      <c r="I169" s="139">
        <f t="shared" si="13"/>
        <v>656.49846829832234</v>
      </c>
      <c r="J169" s="166">
        <v>52.764787732039999</v>
      </c>
      <c r="K169" s="166">
        <v>603.73368056628237</v>
      </c>
      <c r="L169" s="166">
        <v>3620.2359655031582</v>
      </c>
      <c r="M169" s="120"/>
      <c r="N169" s="120"/>
    </row>
    <row r="170" spans="1:14" s="121" customFormat="1" ht="14.5">
      <c r="A170" s="472"/>
      <c r="B170" s="455" t="s">
        <v>114</v>
      </c>
      <c r="C170" s="166">
        <f t="shared" ref="C170:C175" si="20">D170+I170+L170</f>
        <v>20130.137457383855</v>
      </c>
      <c r="D170" s="166">
        <f t="shared" ref="D170:D175" si="21">E170+F170+G170+H170</f>
        <v>15667.363504942257</v>
      </c>
      <c r="E170" s="166">
        <v>4506.9124284857307</v>
      </c>
      <c r="F170" s="166">
        <v>4220.7759484012968</v>
      </c>
      <c r="G170" s="166">
        <v>6840.3217376896773</v>
      </c>
      <c r="H170" s="166">
        <v>99.353390365551888</v>
      </c>
      <c r="I170" s="139">
        <f t="shared" si="13"/>
        <v>812.93543788753152</v>
      </c>
      <c r="J170" s="166">
        <v>39.940177759077997</v>
      </c>
      <c r="K170" s="166">
        <v>772.99526012845354</v>
      </c>
      <c r="L170" s="166">
        <v>3649.8385145540665</v>
      </c>
      <c r="M170" s="120"/>
      <c r="N170" s="120"/>
    </row>
    <row r="171" spans="1:14" s="121" customFormat="1" ht="14.5">
      <c r="A171" s="472"/>
      <c r="B171" s="455" t="s">
        <v>115</v>
      </c>
      <c r="C171" s="166">
        <f t="shared" si="20"/>
        <v>19762.659947461223</v>
      </c>
      <c r="D171" s="166">
        <f t="shared" si="21"/>
        <v>15410.488557990931</v>
      </c>
      <c r="E171" s="166">
        <v>4537.1682953926775</v>
      </c>
      <c r="F171" s="166">
        <v>4210.1491086435926</v>
      </c>
      <c r="G171" s="166">
        <v>6567.448721726616</v>
      </c>
      <c r="H171" s="166">
        <v>95.72243222804569</v>
      </c>
      <c r="I171" s="139">
        <f t="shared" si="13"/>
        <v>745.48613564010054</v>
      </c>
      <c r="J171" s="166">
        <v>40.112756453239996</v>
      </c>
      <c r="K171" s="166">
        <v>705.37337918686057</v>
      </c>
      <c r="L171" s="166">
        <v>3606.6852538301932</v>
      </c>
      <c r="M171" s="120"/>
      <c r="N171" s="120"/>
    </row>
    <row r="172" spans="1:14" s="121" customFormat="1" ht="14.5">
      <c r="A172" s="473"/>
      <c r="B172" s="456" t="s">
        <v>116</v>
      </c>
      <c r="C172" s="168">
        <f t="shared" si="20"/>
        <v>20874.182723872676</v>
      </c>
      <c r="D172" s="168">
        <f t="shared" si="21"/>
        <v>16437.927325374327</v>
      </c>
      <c r="E172" s="168">
        <v>4867.6566446415663</v>
      </c>
      <c r="F172" s="168">
        <v>4482.1322345742756</v>
      </c>
      <c r="G172" s="168">
        <v>6994.5059377492089</v>
      </c>
      <c r="H172" s="168">
        <v>93.63250840927607</v>
      </c>
      <c r="I172" s="142">
        <f t="shared" si="13"/>
        <v>840.47193220152565</v>
      </c>
      <c r="J172" s="168">
        <v>94.283269126101999</v>
      </c>
      <c r="K172" s="168">
        <v>746.18866307542362</v>
      </c>
      <c r="L172" s="168">
        <v>3595.7834662968226</v>
      </c>
      <c r="M172" s="120"/>
      <c r="N172" s="120"/>
    </row>
    <row r="173" spans="1:14" s="121" customFormat="1" ht="14.5">
      <c r="A173" s="471">
        <v>2025</v>
      </c>
      <c r="B173" s="454" t="s">
        <v>105</v>
      </c>
      <c r="C173" s="170">
        <f t="shared" si="20"/>
        <v>20140.944083579892</v>
      </c>
      <c r="D173" s="170">
        <f t="shared" si="21"/>
        <v>15850.856076655131</v>
      </c>
      <c r="E173" s="170">
        <v>5033.2236683253086</v>
      </c>
      <c r="F173" s="170">
        <v>4328.1092197455073</v>
      </c>
      <c r="G173" s="170">
        <v>6373.7679454801309</v>
      </c>
      <c r="H173" s="170">
        <v>115.75524310418407</v>
      </c>
      <c r="I173" s="136">
        <f t="shared" si="13"/>
        <v>784.21210835835222</v>
      </c>
      <c r="J173" s="170">
        <v>64.443614800248</v>
      </c>
      <c r="K173" s="170">
        <v>719.76849355810418</v>
      </c>
      <c r="L173" s="170">
        <v>3505.8758985664085</v>
      </c>
      <c r="M173" s="120"/>
      <c r="N173" s="120"/>
    </row>
    <row r="174" spans="1:14" s="121" customFormat="1" ht="14.5">
      <c r="A174" s="472"/>
      <c r="B174" s="455" t="s">
        <v>106</v>
      </c>
      <c r="C174" s="166">
        <f t="shared" si="20"/>
        <v>20494.961677040319</v>
      </c>
      <c r="D174" s="166">
        <f t="shared" si="21"/>
        <v>16095.455355547741</v>
      </c>
      <c r="E174" s="166">
        <v>4909.1600110294421</v>
      </c>
      <c r="F174" s="166">
        <v>4264.2140415461145</v>
      </c>
      <c r="G174" s="166">
        <v>6802.4538886038426</v>
      </c>
      <c r="H174" s="166">
        <v>119.627414368342</v>
      </c>
      <c r="I174" s="139">
        <f t="shared" si="13"/>
        <v>763.69497694574557</v>
      </c>
      <c r="J174" s="166">
        <v>54.334591772761996</v>
      </c>
      <c r="K174" s="166">
        <v>709.36038517298357</v>
      </c>
      <c r="L174" s="166">
        <v>3635.8113445468334</v>
      </c>
      <c r="M174" s="120"/>
      <c r="N174" s="120"/>
    </row>
    <row r="175" spans="1:14" s="121" customFormat="1" ht="14.5">
      <c r="A175" s="472"/>
      <c r="B175" s="455" t="s">
        <v>107</v>
      </c>
      <c r="C175" s="166">
        <f t="shared" si="20"/>
        <v>20819.683481193097</v>
      </c>
      <c r="D175" s="166">
        <f t="shared" si="21"/>
        <v>16689.52113716145</v>
      </c>
      <c r="E175" s="166">
        <v>5501.6873043196556</v>
      </c>
      <c r="F175" s="166">
        <v>4315.8522488529252</v>
      </c>
      <c r="G175" s="166">
        <v>6755.3552723441107</v>
      </c>
      <c r="H175" s="166">
        <v>116.62631164475752</v>
      </c>
      <c r="I175" s="139">
        <f t="shared" si="13"/>
        <v>663.19915823124234</v>
      </c>
      <c r="J175" s="166">
        <v>18.99193602691</v>
      </c>
      <c r="K175" s="166">
        <v>644.20722220433231</v>
      </c>
      <c r="L175" s="166">
        <v>3466.963185800405</v>
      </c>
      <c r="M175" s="120"/>
      <c r="N175" s="120"/>
    </row>
    <row r="176" spans="1:14" s="121" customFormat="1" ht="14.5">
      <c r="A176" s="472"/>
      <c r="B176" s="455" t="s">
        <v>108</v>
      </c>
      <c r="C176" s="166">
        <f t="shared" ref="C176:C178" si="22">D176+I176+L176</f>
        <v>20472.93838289968</v>
      </c>
      <c r="D176" s="166">
        <f t="shared" ref="D176:D178" si="23">E176+F176+G176+H176</f>
        <v>16240.867411229285</v>
      </c>
      <c r="E176" s="166">
        <v>4852.9089987234274</v>
      </c>
      <c r="F176" s="166">
        <v>4356.9844989748626</v>
      </c>
      <c r="G176" s="166">
        <v>6904.1220608857084</v>
      </c>
      <c r="H176" s="166">
        <v>126.85185264528889</v>
      </c>
      <c r="I176" s="139">
        <f t="shared" si="13"/>
        <v>811.71756157710115</v>
      </c>
      <c r="J176" s="166">
        <v>14.480129944146002</v>
      </c>
      <c r="K176" s="166">
        <v>797.23743163295512</v>
      </c>
      <c r="L176" s="166">
        <v>3420.353410093297</v>
      </c>
      <c r="M176" s="120"/>
      <c r="N176" s="120"/>
    </row>
    <row r="177" spans="1:14" s="121" customFormat="1" ht="14.5">
      <c r="A177" s="472"/>
      <c r="B177" s="455" t="s">
        <v>109</v>
      </c>
      <c r="C177" s="166">
        <f t="shared" si="22"/>
        <v>20080.792658047179</v>
      </c>
      <c r="D177" s="166">
        <f t="shared" si="23"/>
        <v>15948.587958000631</v>
      </c>
      <c r="E177" s="166">
        <v>4666.8405074637731</v>
      </c>
      <c r="F177" s="166">
        <v>4329.5033679499847</v>
      </c>
      <c r="G177" s="166">
        <v>6829.4872168444981</v>
      </c>
      <c r="H177" s="166">
        <v>122.75686574237642</v>
      </c>
      <c r="I177" s="139">
        <f t="shared" si="13"/>
        <v>615.115751279704</v>
      </c>
      <c r="J177" s="166">
        <v>14.444516208132001</v>
      </c>
      <c r="K177" s="166">
        <v>600.67123507157203</v>
      </c>
      <c r="L177" s="166">
        <v>3517.0889487668423</v>
      </c>
      <c r="M177" s="120"/>
      <c r="N177" s="120"/>
    </row>
    <row r="178" spans="1:14" s="121" customFormat="1" ht="14.5">
      <c r="A178" s="473"/>
      <c r="B178" s="456" t="s">
        <v>110</v>
      </c>
      <c r="C178" s="168">
        <f t="shared" si="22"/>
        <v>20264.91310847261</v>
      </c>
      <c r="D178" s="168">
        <f t="shared" si="23"/>
        <v>16176.008849488924</v>
      </c>
      <c r="E178" s="168">
        <v>4864.6231275722457</v>
      </c>
      <c r="F178" s="168">
        <v>4436.2947804189162</v>
      </c>
      <c r="G178" s="168">
        <v>6755.1491390559077</v>
      </c>
      <c r="H178" s="168">
        <v>119.94180244185341</v>
      </c>
      <c r="I178" s="142">
        <f t="shared" si="13"/>
        <v>514.1379149856449</v>
      </c>
      <c r="J178" s="168">
        <v>1.9261277822480001</v>
      </c>
      <c r="K178" s="168">
        <v>512.21178720339685</v>
      </c>
      <c r="L178" s="168">
        <v>3574.7663439980433</v>
      </c>
      <c r="M178" s="120"/>
      <c r="N178" s="120"/>
    </row>
    <row r="180" spans="1:14">
      <c r="A180" s="491" t="s">
        <v>195</v>
      </c>
      <c r="B180" s="505"/>
      <c r="C180" s="505"/>
      <c r="D180" s="503"/>
    </row>
    <row r="181" spans="1:14">
      <c r="A181" s="475"/>
      <c r="B181" s="505"/>
      <c r="C181" s="506"/>
      <c r="D181" s="504"/>
      <c r="E181" s="74"/>
      <c r="F181" s="74"/>
      <c r="G181" s="74"/>
      <c r="H181" s="74"/>
      <c r="I181" s="74"/>
      <c r="J181" s="74"/>
      <c r="K181" s="74"/>
      <c r="L181" s="74"/>
    </row>
    <row r="182" spans="1:14">
      <c r="A182" s="475" t="s">
        <v>119</v>
      </c>
      <c r="B182" s="505"/>
      <c r="C182" s="505"/>
      <c r="D182" s="503"/>
    </row>
    <row r="183" spans="1:14">
      <c r="A183" s="475" t="s">
        <v>120</v>
      </c>
      <c r="B183" s="505"/>
      <c r="C183" s="505"/>
      <c r="D183" s="503"/>
    </row>
    <row r="184" spans="1:14">
      <c r="A184" s="488" t="s">
        <v>168</v>
      </c>
    </row>
  </sheetData>
  <sheetProtection formatCells="0" insertColumns="0" insertRows="0" deleteColumns="0" deleteRows="0"/>
  <mergeCells count="7">
    <mergeCell ref="A1:J1"/>
    <mergeCell ref="L3:L4"/>
    <mergeCell ref="I3:K3"/>
    <mergeCell ref="A2:L2"/>
    <mergeCell ref="A3:B4"/>
    <mergeCell ref="C3:C4"/>
    <mergeCell ref="D3:H3"/>
  </mergeCells>
  <printOptions horizontalCentered="1"/>
  <pageMargins left="0.32" right="0.31" top="0.75" bottom="0.75" header="0.3" footer="0.3"/>
  <pageSetup paperSize="9" orientation="landscape" r:id="rId1"/>
  <ignoredErrors>
    <ignoredError sqref="C113:C115 D113:D115 I113:I1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76"/>
  <sheetViews>
    <sheetView zoomScaleNormal="100" workbookViewId="0">
      <pane xSplit="2" ySplit="7" topLeftCell="C61" activePane="bottomRight" state="frozen"/>
      <selection pane="topRight" activeCell="G153" sqref="G153"/>
      <selection pane="bottomLeft" activeCell="G153" sqref="G153"/>
      <selection pane="bottomRight" activeCell="A65" sqref="A65"/>
    </sheetView>
  </sheetViews>
  <sheetFormatPr defaultColWidth="9.1796875" defaultRowHeight="13"/>
  <cols>
    <col min="1" max="1" width="5.81640625" style="65" customWidth="1"/>
    <col min="2" max="2" width="4.81640625" style="65" customWidth="1"/>
    <col min="3" max="6" width="9" style="65" bestFit="1" customWidth="1"/>
    <col min="7" max="7" width="6.1796875" style="65" customWidth="1"/>
    <col min="8" max="8" width="7.81640625" style="65" bestFit="1" customWidth="1"/>
    <col min="9" max="9" width="5.1796875" style="65" customWidth="1"/>
    <col min="10" max="10" width="7.81640625" style="65" bestFit="1" customWidth="1"/>
    <col min="11" max="12" width="9" style="65" bestFit="1" customWidth="1"/>
    <col min="13" max="15" width="7.81640625" style="65" bestFit="1" customWidth="1"/>
    <col min="16" max="16" width="9" style="65" bestFit="1" customWidth="1"/>
    <col min="17" max="17" width="6.1796875" style="65" customWidth="1"/>
    <col min="18" max="18" width="7.453125" style="65" customWidth="1"/>
    <col min="19" max="19" width="7.81640625" style="65" customWidth="1"/>
    <col min="20" max="20" width="7.1796875" style="65" customWidth="1"/>
    <col min="21" max="21" width="7" style="65" customWidth="1"/>
    <col min="22" max="22" width="7.1796875" style="65" customWidth="1"/>
    <col min="23" max="23" width="7" style="65" customWidth="1"/>
    <col min="24" max="24" width="7.1796875" style="65" customWidth="1"/>
    <col min="25" max="25" width="6.81640625" style="65" customWidth="1"/>
    <col min="26" max="26" width="5.81640625" style="65" customWidth="1"/>
    <col min="27" max="27" width="8.1796875" style="65" customWidth="1"/>
    <col min="28" max="16384" width="9.1796875" style="65"/>
  </cols>
  <sheetData>
    <row r="1" spans="1:39">
      <c r="A1" s="716" t="s">
        <v>205</v>
      </c>
      <c r="B1" s="716"/>
      <c r="C1" s="716"/>
      <c r="D1" s="716"/>
      <c r="E1" s="716"/>
      <c r="F1" s="716"/>
      <c r="G1" s="716"/>
      <c r="H1" s="716"/>
      <c r="I1" s="716"/>
      <c r="J1" s="716"/>
      <c r="K1" s="716"/>
      <c r="L1" s="716"/>
      <c r="M1" s="716"/>
      <c r="N1" s="716"/>
      <c r="O1" s="716"/>
      <c r="P1" s="716"/>
    </row>
    <row r="2" spans="1:39" ht="15" customHeight="1">
      <c r="A2" s="750" t="s">
        <v>97</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row>
    <row r="3" spans="1:39" s="121" customFormat="1" ht="27" customHeight="1">
      <c r="A3" s="785" t="s">
        <v>98</v>
      </c>
      <c r="B3" s="785"/>
      <c r="C3" s="783" t="s">
        <v>206</v>
      </c>
      <c r="D3" s="784"/>
      <c r="E3" s="784"/>
      <c r="F3" s="784"/>
      <c r="G3" s="784"/>
      <c r="H3" s="784"/>
      <c r="I3" s="784"/>
      <c r="J3" s="784"/>
      <c r="K3" s="784"/>
      <c r="L3" s="784"/>
      <c r="M3" s="784"/>
      <c r="N3" s="784"/>
      <c r="O3" s="784"/>
      <c r="P3" s="784"/>
      <c r="Q3" s="784"/>
      <c r="R3" s="784"/>
      <c r="S3" s="784"/>
      <c r="T3" s="784"/>
      <c r="U3" s="784"/>
      <c r="V3" s="784"/>
      <c r="W3" s="784"/>
      <c r="X3" s="784"/>
      <c r="Y3" s="784"/>
      <c r="Z3" s="784"/>
      <c r="AA3" s="784"/>
    </row>
    <row r="4" spans="1:39" s="121" customFormat="1" ht="27.75" customHeight="1">
      <c r="A4" s="785"/>
      <c r="B4" s="786"/>
      <c r="C4" s="788" t="s">
        <v>102</v>
      </c>
      <c r="D4" s="787" t="s">
        <v>207</v>
      </c>
      <c r="E4" s="784"/>
      <c r="F4" s="784"/>
      <c r="G4" s="784"/>
      <c r="H4" s="784"/>
      <c r="I4" s="784"/>
      <c r="J4" s="784"/>
      <c r="K4" s="784"/>
      <c r="L4" s="784"/>
      <c r="M4" s="784"/>
      <c r="N4" s="784"/>
      <c r="O4" s="784"/>
      <c r="P4" s="784"/>
      <c r="Q4" s="784"/>
      <c r="R4" s="784"/>
      <c r="S4" s="784"/>
      <c r="T4" s="784"/>
      <c r="U4" s="784"/>
      <c r="V4" s="784"/>
      <c r="W4" s="784"/>
      <c r="X4" s="784"/>
      <c r="Y4" s="784"/>
      <c r="Z4" s="784"/>
      <c r="AA4" s="782" t="s">
        <v>208</v>
      </c>
    </row>
    <row r="5" spans="1:39" s="121" customFormat="1" ht="24.75" customHeight="1">
      <c r="A5" s="785"/>
      <c r="B5" s="786"/>
      <c r="C5" s="789"/>
      <c r="D5" s="788" t="s">
        <v>102</v>
      </c>
      <c r="E5" s="787" t="s">
        <v>209</v>
      </c>
      <c r="F5" s="784"/>
      <c r="G5" s="784"/>
      <c r="H5" s="784"/>
      <c r="I5" s="784"/>
      <c r="J5" s="784"/>
      <c r="K5" s="784"/>
      <c r="L5" s="784"/>
      <c r="M5" s="784"/>
      <c r="N5" s="784"/>
      <c r="O5" s="784"/>
      <c r="P5" s="783" t="s">
        <v>210</v>
      </c>
      <c r="Q5" s="784"/>
      <c r="R5" s="784"/>
      <c r="S5" s="784"/>
      <c r="T5" s="784"/>
      <c r="U5" s="784"/>
      <c r="V5" s="784"/>
      <c r="W5" s="784"/>
      <c r="X5" s="784"/>
      <c r="Y5" s="784"/>
      <c r="Z5" s="784"/>
      <c r="AA5" s="782"/>
    </row>
    <row r="6" spans="1:39" s="121" customFormat="1" ht="27.75" customHeight="1">
      <c r="A6" s="785"/>
      <c r="B6" s="786"/>
      <c r="C6" s="789"/>
      <c r="D6" s="789"/>
      <c r="E6" s="788" t="s">
        <v>102</v>
      </c>
      <c r="F6" s="787" t="s">
        <v>211</v>
      </c>
      <c r="G6" s="784"/>
      <c r="H6" s="784"/>
      <c r="I6" s="784"/>
      <c r="J6" s="784"/>
      <c r="K6" s="784"/>
      <c r="L6" s="791" t="s">
        <v>212</v>
      </c>
      <c r="M6" s="792"/>
      <c r="N6" s="792"/>
      <c r="O6" s="792"/>
      <c r="P6" s="788" t="s">
        <v>102</v>
      </c>
      <c r="Q6" s="794" t="s">
        <v>213</v>
      </c>
      <c r="R6" s="782" t="s">
        <v>214</v>
      </c>
      <c r="S6" s="782" t="s">
        <v>215</v>
      </c>
      <c r="T6" s="782" t="s">
        <v>216</v>
      </c>
      <c r="U6" s="782" t="s">
        <v>217</v>
      </c>
      <c r="V6" s="782" t="s">
        <v>218</v>
      </c>
      <c r="W6" s="782" t="s">
        <v>219</v>
      </c>
      <c r="X6" s="782" t="s">
        <v>220</v>
      </c>
      <c r="Y6" s="782" t="s">
        <v>221</v>
      </c>
      <c r="Z6" s="782" t="s">
        <v>222</v>
      </c>
      <c r="AA6" s="782"/>
    </row>
    <row r="7" spans="1:39" s="121" customFormat="1" ht="150" customHeight="1">
      <c r="A7" s="785"/>
      <c r="B7" s="786"/>
      <c r="C7" s="790"/>
      <c r="D7" s="790"/>
      <c r="E7" s="790"/>
      <c r="F7" s="509" t="s">
        <v>102</v>
      </c>
      <c r="G7" s="510" t="s">
        <v>223</v>
      </c>
      <c r="H7" s="511" t="s">
        <v>224</v>
      </c>
      <c r="I7" s="511" t="s">
        <v>225</v>
      </c>
      <c r="J7" s="511" t="s">
        <v>226</v>
      </c>
      <c r="K7" s="512" t="s">
        <v>227</v>
      </c>
      <c r="L7" s="509" t="s">
        <v>102</v>
      </c>
      <c r="M7" s="513" t="s">
        <v>228</v>
      </c>
      <c r="N7" s="509" t="s">
        <v>229</v>
      </c>
      <c r="O7" s="514" t="s">
        <v>230</v>
      </c>
      <c r="P7" s="793"/>
      <c r="Q7" s="794"/>
      <c r="R7" s="782"/>
      <c r="S7" s="782"/>
      <c r="T7" s="782"/>
      <c r="U7" s="782"/>
      <c r="V7" s="782"/>
      <c r="W7" s="782"/>
      <c r="X7" s="782"/>
      <c r="Y7" s="782"/>
      <c r="Z7" s="782"/>
      <c r="AA7" s="782"/>
    </row>
    <row r="8" spans="1:39" s="121" customFormat="1">
      <c r="A8" s="135">
        <v>2011</v>
      </c>
      <c r="B8" s="106" t="s">
        <v>231</v>
      </c>
      <c r="C8" s="256">
        <f>F8+L8+P8+AA8</f>
        <v>5126.3099999999995</v>
      </c>
      <c r="D8" s="257">
        <f>E8+P8</f>
        <v>5091.37</v>
      </c>
      <c r="E8" s="253">
        <f>F8+L8</f>
        <v>3096.74</v>
      </c>
      <c r="F8" s="235">
        <f>G8+H8+I8+J8+K8</f>
        <v>2165.6999999999998</v>
      </c>
      <c r="G8" s="233">
        <v>133.97999999999999</v>
      </c>
      <c r="H8" s="234">
        <v>123.33</v>
      </c>
      <c r="I8" s="235">
        <v>17.48</v>
      </c>
      <c r="J8" s="234">
        <v>24.54</v>
      </c>
      <c r="K8" s="234">
        <v>1866.37</v>
      </c>
      <c r="L8" s="235">
        <f>M8+N8+O8</f>
        <v>931.04</v>
      </c>
      <c r="M8" s="233">
        <v>361.09</v>
      </c>
      <c r="N8" s="234">
        <v>418.17</v>
      </c>
      <c r="O8" s="235">
        <v>151.78</v>
      </c>
      <c r="P8" s="235">
        <f>Q8+R8+S8+T8+U8+V8+W8+X8+Y8+Z8</f>
        <v>1994.6299999999999</v>
      </c>
      <c r="Q8" s="233">
        <v>22.89</v>
      </c>
      <c r="R8" s="234">
        <v>27.97</v>
      </c>
      <c r="S8" s="235">
        <v>145.75</v>
      </c>
      <c r="T8" s="234">
        <v>551.66</v>
      </c>
      <c r="U8" s="235">
        <v>152.68</v>
      </c>
      <c r="V8" s="234">
        <v>346.63</v>
      </c>
      <c r="W8" s="235">
        <v>179.59</v>
      </c>
      <c r="X8" s="234">
        <v>399.76</v>
      </c>
      <c r="Y8" s="235">
        <v>79.540000000000006</v>
      </c>
      <c r="Z8" s="234">
        <v>88.16</v>
      </c>
      <c r="AA8" s="235">
        <v>34.94</v>
      </c>
      <c r="AB8" s="236"/>
      <c r="AC8" s="236"/>
      <c r="AD8" s="236"/>
      <c r="AE8" s="236"/>
      <c r="AF8" s="236"/>
      <c r="AG8" s="236"/>
      <c r="AH8" s="236"/>
      <c r="AI8" s="236"/>
      <c r="AJ8" s="236"/>
      <c r="AK8" s="236"/>
      <c r="AL8" s="236"/>
      <c r="AM8" s="236"/>
    </row>
    <row r="9" spans="1:39" s="121" customFormat="1">
      <c r="A9" s="97"/>
      <c r="B9" s="108" t="s">
        <v>232</v>
      </c>
      <c r="C9" s="237">
        <f>F9+L9+P9+AA9</f>
        <v>4713.57</v>
      </c>
      <c r="D9" s="238">
        <f>E9+P9</f>
        <v>4660.96</v>
      </c>
      <c r="E9" s="237">
        <f>F9+L9</f>
        <v>3043.82</v>
      </c>
      <c r="F9" s="239">
        <f>G9+H9+I9+J9+K9</f>
        <v>2097.59</v>
      </c>
      <c r="G9" s="240">
        <v>127.45</v>
      </c>
      <c r="H9" s="241">
        <v>141.04</v>
      </c>
      <c r="I9" s="239">
        <v>14.91</v>
      </c>
      <c r="J9" s="241">
        <v>27.12</v>
      </c>
      <c r="K9" s="239">
        <v>1787.07</v>
      </c>
      <c r="L9" s="239">
        <f>M9+N9+O9</f>
        <v>946.23</v>
      </c>
      <c r="M9" s="240">
        <v>361.76</v>
      </c>
      <c r="N9" s="241">
        <v>434.18</v>
      </c>
      <c r="O9" s="239">
        <v>150.29</v>
      </c>
      <c r="P9" s="239">
        <f>Q9+R9+S9+T9+U9+V9+W9+X9+Y9+Z9</f>
        <v>1617.1399999999996</v>
      </c>
      <c r="Q9" s="240">
        <v>25.02</v>
      </c>
      <c r="R9" s="241">
        <v>45.01</v>
      </c>
      <c r="S9" s="239">
        <v>155.66999999999999</v>
      </c>
      <c r="T9" s="241">
        <v>120.83</v>
      </c>
      <c r="U9" s="239">
        <v>158.43</v>
      </c>
      <c r="V9" s="241">
        <v>352.99</v>
      </c>
      <c r="W9" s="239">
        <v>194.81</v>
      </c>
      <c r="X9" s="241">
        <v>395.4</v>
      </c>
      <c r="Y9" s="239">
        <v>80.12</v>
      </c>
      <c r="Z9" s="241">
        <v>88.86</v>
      </c>
      <c r="AA9" s="239">
        <v>52.61</v>
      </c>
      <c r="AB9" s="236"/>
      <c r="AC9" s="236"/>
      <c r="AD9" s="236"/>
      <c r="AE9" s="236"/>
      <c r="AF9" s="236"/>
      <c r="AG9" s="236"/>
      <c r="AH9" s="236"/>
      <c r="AI9" s="236"/>
      <c r="AJ9" s="236"/>
      <c r="AK9" s="236"/>
      <c r="AL9" s="236"/>
    </row>
    <row r="10" spans="1:39" s="121" customFormat="1">
      <c r="A10" s="97"/>
      <c r="B10" s="108" t="s">
        <v>233</v>
      </c>
      <c r="C10" s="237">
        <f t="shared" ref="C10:C32" si="0">F10+L10+P10+AA10</f>
        <v>4834.22</v>
      </c>
      <c r="D10" s="238">
        <f t="shared" ref="D10:D32" si="1">E10+P10</f>
        <v>4660.97</v>
      </c>
      <c r="E10" s="237">
        <f t="shared" ref="E10:E32" si="2">F10+L10</f>
        <v>2998.44</v>
      </c>
      <c r="F10" s="239">
        <f t="shared" ref="F10:F32" si="3">G10+H10+I10+J10+K10</f>
        <v>2033.4</v>
      </c>
      <c r="G10" s="240">
        <v>119.2</v>
      </c>
      <c r="H10" s="241">
        <v>135.19</v>
      </c>
      <c r="I10" s="239">
        <v>12.72</v>
      </c>
      <c r="J10" s="241">
        <v>29.23</v>
      </c>
      <c r="K10" s="239">
        <v>1737.06</v>
      </c>
      <c r="L10" s="239">
        <f t="shared" ref="L10:L64" si="4">M10+N10+O10</f>
        <v>965.04</v>
      </c>
      <c r="M10" s="240">
        <v>377.07</v>
      </c>
      <c r="N10" s="241">
        <v>436.91</v>
      </c>
      <c r="O10" s="239">
        <v>151.06</v>
      </c>
      <c r="P10" s="239">
        <f t="shared" ref="P10:P32" si="5">Q10+R10+S10+T10+U10+V10+W10+X10+Y10+Z10</f>
        <v>1662.53</v>
      </c>
      <c r="Q10" s="240">
        <v>24.56</v>
      </c>
      <c r="R10" s="241">
        <v>166.33</v>
      </c>
      <c r="S10" s="239">
        <v>153.11000000000001</v>
      </c>
      <c r="T10" s="241">
        <v>115.1</v>
      </c>
      <c r="U10" s="239">
        <v>176.66</v>
      </c>
      <c r="V10" s="241">
        <v>376.5</v>
      </c>
      <c r="W10" s="239">
        <v>199.6</v>
      </c>
      <c r="X10" s="241">
        <v>285.14</v>
      </c>
      <c r="Y10" s="239">
        <v>80.12</v>
      </c>
      <c r="Z10" s="241">
        <v>85.41</v>
      </c>
      <c r="AA10" s="239">
        <v>173.25</v>
      </c>
      <c r="AB10" s="236"/>
      <c r="AC10" s="236"/>
      <c r="AD10" s="236"/>
      <c r="AE10" s="236"/>
      <c r="AF10" s="236"/>
      <c r="AG10" s="236"/>
      <c r="AH10" s="236"/>
      <c r="AI10" s="236"/>
      <c r="AJ10" s="236"/>
      <c r="AK10" s="236"/>
      <c r="AL10" s="236"/>
    </row>
    <row r="11" spans="1:39" s="121" customFormat="1">
      <c r="A11" s="100"/>
      <c r="B11" s="110" t="s">
        <v>234</v>
      </c>
      <c r="C11" s="242">
        <f t="shared" si="0"/>
        <v>5091.96</v>
      </c>
      <c r="D11" s="242">
        <f t="shared" si="1"/>
        <v>4729.2</v>
      </c>
      <c r="E11" s="242">
        <f t="shared" si="2"/>
        <v>2966.0299999999997</v>
      </c>
      <c r="F11" s="243">
        <f t="shared" si="3"/>
        <v>1987.57</v>
      </c>
      <c r="G11" s="244">
        <v>111.57</v>
      </c>
      <c r="H11" s="245">
        <v>142.19</v>
      </c>
      <c r="I11" s="243">
        <v>10.91</v>
      </c>
      <c r="J11" s="245">
        <v>31.34</v>
      </c>
      <c r="K11" s="243">
        <v>1691.56</v>
      </c>
      <c r="L11" s="243">
        <f t="shared" si="4"/>
        <v>978.46</v>
      </c>
      <c r="M11" s="244">
        <v>374.19</v>
      </c>
      <c r="N11" s="245">
        <v>450.18</v>
      </c>
      <c r="O11" s="243">
        <v>154.09</v>
      </c>
      <c r="P11" s="243">
        <f t="shared" si="5"/>
        <v>1763.1699999999998</v>
      </c>
      <c r="Q11" s="244">
        <v>24.16</v>
      </c>
      <c r="R11" s="245">
        <v>266.44</v>
      </c>
      <c r="S11" s="243">
        <v>353.2</v>
      </c>
      <c r="T11" s="245">
        <v>96.3</v>
      </c>
      <c r="U11" s="243">
        <v>186.7</v>
      </c>
      <c r="V11" s="245">
        <v>373.32</v>
      </c>
      <c r="W11" s="243">
        <v>215.09</v>
      </c>
      <c r="X11" s="245">
        <v>78.77</v>
      </c>
      <c r="Y11" s="243">
        <v>82.16</v>
      </c>
      <c r="Z11" s="245">
        <v>87.03</v>
      </c>
      <c r="AA11" s="243">
        <v>362.76</v>
      </c>
      <c r="AB11" s="236"/>
      <c r="AC11" s="236"/>
      <c r="AD11" s="236"/>
      <c r="AE11" s="236"/>
      <c r="AF11" s="236"/>
      <c r="AG11" s="236"/>
      <c r="AH11" s="236"/>
      <c r="AI11" s="236"/>
      <c r="AJ11" s="236"/>
      <c r="AK11" s="236"/>
      <c r="AL11" s="236"/>
    </row>
    <row r="12" spans="1:39" s="121" customFormat="1">
      <c r="A12" s="97">
        <v>2012</v>
      </c>
      <c r="B12" s="108" t="s">
        <v>231</v>
      </c>
      <c r="C12" s="237">
        <f t="shared" si="0"/>
        <v>4899.1099999999997</v>
      </c>
      <c r="D12" s="238">
        <f t="shared" si="1"/>
        <v>4665.5499999999993</v>
      </c>
      <c r="E12" s="237">
        <f t="shared" si="2"/>
        <v>2907.46</v>
      </c>
      <c r="F12" s="239">
        <f t="shared" si="3"/>
        <v>1914.68</v>
      </c>
      <c r="G12" s="240">
        <v>104.71</v>
      </c>
      <c r="H12" s="241">
        <v>135.55000000000001</v>
      </c>
      <c r="I12" s="239">
        <v>8.83</v>
      </c>
      <c r="J12" s="241">
        <v>33.090000000000003</v>
      </c>
      <c r="K12" s="239">
        <v>1632.5</v>
      </c>
      <c r="L12" s="239">
        <f t="shared" si="4"/>
        <v>992.78000000000009</v>
      </c>
      <c r="M12" s="240">
        <v>372.84</v>
      </c>
      <c r="N12" s="241">
        <v>462.86</v>
      </c>
      <c r="O12" s="239">
        <v>157.08000000000001</v>
      </c>
      <c r="P12" s="239">
        <f t="shared" si="5"/>
        <v>1758.0899999999997</v>
      </c>
      <c r="Q12" s="240">
        <v>25.01</v>
      </c>
      <c r="R12" s="241">
        <v>226.37</v>
      </c>
      <c r="S12" s="239">
        <v>263.06</v>
      </c>
      <c r="T12" s="241">
        <v>90.07</v>
      </c>
      <c r="U12" s="239">
        <v>181.29</v>
      </c>
      <c r="V12" s="241">
        <v>384.07</v>
      </c>
      <c r="W12" s="239">
        <v>203.56</v>
      </c>
      <c r="X12" s="241">
        <v>225.73</v>
      </c>
      <c r="Y12" s="239">
        <v>72.05</v>
      </c>
      <c r="Z12" s="241">
        <v>86.88</v>
      </c>
      <c r="AA12" s="239">
        <v>233.56</v>
      </c>
      <c r="AB12" s="236"/>
      <c r="AC12" s="236"/>
      <c r="AD12" s="236"/>
      <c r="AE12" s="236"/>
      <c r="AF12" s="236"/>
      <c r="AG12" s="236"/>
      <c r="AH12" s="236"/>
      <c r="AI12" s="236"/>
      <c r="AJ12" s="236"/>
      <c r="AK12" s="236"/>
      <c r="AL12" s="236"/>
    </row>
    <row r="13" spans="1:39" s="121" customFormat="1">
      <c r="A13" s="97"/>
      <c r="B13" s="108" t="s">
        <v>232</v>
      </c>
      <c r="C13" s="237">
        <f t="shared" si="0"/>
        <v>5002.2900000000009</v>
      </c>
      <c r="D13" s="238">
        <f t="shared" si="1"/>
        <v>4766.7800000000007</v>
      </c>
      <c r="E13" s="237">
        <f t="shared" si="2"/>
        <v>2904.1000000000004</v>
      </c>
      <c r="F13" s="239">
        <f t="shared" si="3"/>
        <v>1899.8400000000001</v>
      </c>
      <c r="G13" s="240">
        <v>99.52</v>
      </c>
      <c r="H13" s="241">
        <v>138.83000000000001</v>
      </c>
      <c r="I13" s="239">
        <v>7.34</v>
      </c>
      <c r="J13" s="241">
        <v>39.200000000000003</v>
      </c>
      <c r="K13" s="239">
        <v>1614.95</v>
      </c>
      <c r="L13" s="239">
        <f t="shared" si="4"/>
        <v>1004.26</v>
      </c>
      <c r="M13" s="240">
        <v>384.48</v>
      </c>
      <c r="N13" s="241">
        <v>456.74</v>
      </c>
      <c r="O13" s="239">
        <v>163.04</v>
      </c>
      <c r="P13" s="239">
        <f t="shared" si="5"/>
        <v>1862.6799999999998</v>
      </c>
      <c r="Q13" s="240">
        <v>21.42</v>
      </c>
      <c r="R13" s="241">
        <v>227.93</v>
      </c>
      <c r="S13" s="239">
        <v>291.70999999999998</v>
      </c>
      <c r="T13" s="241">
        <v>138.97</v>
      </c>
      <c r="U13" s="239">
        <v>163.11000000000001</v>
      </c>
      <c r="V13" s="241">
        <v>394.9</v>
      </c>
      <c r="W13" s="239">
        <v>214.55</v>
      </c>
      <c r="X13" s="241">
        <v>246.21</v>
      </c>
      <c r="Y13" s="239">
        <v>74.290000000000006</v>
      </c>
      <c r="Z13" s="241">
        <v>89.59</v>
      </c>
      <c r="AA13" s="239">
        <v>235.51</v>
      </c>
      <c r="AB13" s="236"/>
      <c r="AC13" s="236"/>
      <c r="AD13" s="236"/>
      <c r="AE13" s="236"/>
      <c r="AF13" s="236"/>
      <c r="AG13" s="236"/>
      <c r="AH13" s="236"/>
      <c r="AI13" s="236"/>
      <c r="AJ13" s="236"/>
      <c r="AK13" s="236"/>
      <c r="AL13" s="236"/>
    </row>
    <row r="14" spans="1:39" s="121" customFormat="1">
      <c r="A14" s="97"/>
      <c r="B14" s="108" t="s">
        <v>233</v>
      </c>
      <c r="C14" s="237">
        <f t="shared" si="0"/>
        <v>5171.0199999999995</v>
      </c>
      <c r="D14" s="238">
        <f t="shared" si="1"/>
        <v>4902.6099999999997</v>
      </c>
      <c r="E14" s="237">
        <f t="shared" si="2"/>
        <v>2918.46</v>
      </c>
      <c r="F14" s="239">
        <f t="shared" si="3"/>
        <v>1882.91</v>
      </c>
      <c r="G14" s="240">
        <v>92.67</v>
      </c>
      <c r="H14" s="241">
        <v>139.88999999999999</v>
      </c>
      <c r="I14" s="239">
        <v>5.89</v>
      </c>
      <c r="J14" s="241">
        <v>52.57</v>
      </c>
      <c r="K14" s="239">
        <v>1591.89</v>
      </c>
      <c r="L14" s="239">
        <f t="shared" si="4"/>
        <v>1035.55</v>
      </c>
      <c r="M14" s="240">
        <v>384.13</v>
      </c>
      <c r="N14" s="241">
        <v>478.93</v>
      </c>
      <c r="O14" s="239">
        <v>172.49</v>
      </c>
      <c r="P14" s="239">
        <f t="shared" si="5"/>
        <v>1984.1499999999999</v>
      </c>
      <c r="Q14" s="240">
        <v>21.35</v>
      </c>
      <c r="R14" s="241">
        <v>213.08</v>
      </c>
      <c r="S14" s="239">
        <v>444.58</v>
      </c>
      <c r="T14" s="241">
        <v>161.32</v>
      </c>
      <c r="U14" s="239">
        <v>154.13</v>
      </c>
      <c r="V14" s="241">
        <v>407.76</v>
      </c>
      <c r="W14" s="239">
        <v>224.93</v>
      </c>
      <c r="X14" s="241">
        <v>194.54</v>
      </c>
      <c r="Y14" s="239">
        <v>76.12</v>
      </c>
      <c r="Z14" s="241">
        <v>86.34</v>
      </c>
      <c r="AA14" s="239">
        <v>268.41000000000003</v>
      </c>
      <c r="AB14" s="236"/>
      <c r="AC14" s="236"/>
      <c r="AD14" s="236"/>
      <c r="AE14" s="236"/>
      <c r="AF14" s="236"/>
      <c r="AG14" s="236"/>
      <c r="AH14" s="236"/>
      <c r="AI14" s="236"/>
      <c r="AJ14" s="236"/>
      <c r="AK14" s="236"/>
      <c r="AL14" s="236"/>
    </row>
    <row r="15" spans="1:39" s="121" customFormat="1">
      <c r="A15" s="97"/>
      <c r="B15" s="108" t="s">
        <v>234</v>
      </c>
      <c r="C15" s="242">
        <f t="shared" si="0"/>
        <v>5199.62</v>
      </c>
      <c r="D15" s="242">
        <f t="shared" si="1"/>
        <v>4892.32</v>
      </c>
      <c r="E15" s="242">
        <f t="shared" si="2"/>
        <v>2932.62</v>
      </c>
      <c r="F15" s="243">
        <f t="shared" si="3"/>
        <v>1842.18</v>
      </c>
      <c r="G15" s="240">
        <v>86.66</v>
      </c>
      <c r="H15" s="241">
        <v>134.57</v>
      </c>
      <c r="I15" s="239">
        <v>5.05</v>
      </c>
      <c r="J15" s="241">
        <v>89.74</v>
      </c>
      <c r="K15" s="239">
        <v>1526.16</v>
      </c>
      <c r="L15" s="243">
        <f t="shared" si="4"/>
        <v>1090.44</v>
      </c>
      <c r="M15" s="240">
        <v>387</v>
      </c>
      <c r="N15" s="241">
        <v>525.05999999999995</v>
      </c>
      <c r="O15" s="243">
        <v>178.38</v>
      </c>
      <c r="P15" s="243">
        <f t="shared" si="5"/>
        <v>1959.7</v>
      </c>
      <c r="Q15" s="240">
        <v>22.72</v>
      </c>
      <c r="R15" s="241">
        <v>214.31</v>
      </c>
      <c r="S15" s="239">
        <v>349.51</v>
      </c>
      <c r="T15" s="241">
        <v>217.96</v>
      </c>
      <c r="U15" s="239">
        <v>180.48</v>
      </c>
      <c r="V15" s="241">
        <v>418</v>
      </c>
      <c r="W15" s="239">
        <v>222.4</v>
      </c>
      <c r="X15" s="241">
        <v>176.08</v>
      </c>
      <c r="Y15" s="239">
        <v>81.08</v>
      </c>
      <c r="Z15" s="241">
        <v>77.16</v>
      </c>
      <c r="AA15" s="239">
        <v>307.3</v>
      </c>
      <c r="AB15" s="236"/>
      <c r="AC15" s="236"/>
      <c r="AD15" s="236"/>
      <c r="AE15" s="236"/>
      <c r="AF15" s="236"/>
      <c r="AG15" s="236"/>
      <c r="AH15" s="236"/>
      <c r="AI15" s="236"/>
      <c r="AJ15" s="236"/>
      <c r="AK15" s="236"/>
      <c r="AL15" s="236"/>
    </row>
    <row r="16" spans="1:39" s="121" customFormat="1">
      <c r="A16" s="135">
        <v>2013</v>
      </c>
      <c r="B16" s="96" t="s">
        <v>231</v>
      </c>
      <c r="C16" s="237">
        <f t="shared" si="0"/>
        <v>5181.8599999999997</v>
      </c>
      <c r="D16" s="238">
        <f t="shared" si="1"/>
        <v>4886.2299999999996</v>
      </c>
      <c r="E16" s="237">
        <f t="shared" si="2"/>
        <v>2944.05</v>
      </c>
      <c r="F16" s="239">
        <f t="shared" si="3"/>
        <v>1819.65</v>
      </c>
      <c r="G16" s="233">
        <v>79.959999999999994</v>
      </c>
      <c r="H16" s="233">
        <v>127.6</v>
      </c>
      <c r="I16" s="233">
        <v>3.95</v>
      </c>
      <c r="J16" s="233">
        <v>152.63</v>
      </c>
      <c r="K16" s="233">
        <v>1455.51</v>
      </c>
      <c r="L16" s="239">
        <f t="shared" si="4"/>
        <v>1124.3999999999999</v>
      </c>
      <c r="M16" s="233">
        <v>387.33</v>
      </c>
      <c r="N16" s="233">
        <v>552.78</v>
      </c>
      <c r="O16" s="233">
        <v>184.29</v>
      </c>
      <c r="P16" s="239">
        <f t="shared" si="5"/>
        <v>1942.1799999999998</v>
      </c>
      <c r="Q16" s="233">
        <v>25.43</v>
      </c>
      <c r="R16" s="233">
        <v>208.42</v>
      </c>
      <c r="S16" s="233">
        <v>329.06</v>
      </c>
      <c r="T16" s="233">
        <v>222.03</v>
      </c>
      <c r="U16" s="233">
        <v>184.25</v>
      </c>
      <c r="V16" s="233">
        <v>401.24</v>
      </c>
      <c r="W16" s="233">
        <v>238.63</v>
      </c>
      <c r="X16" s="233">
        <v>189.5</v>
      </c>
      <c r="Y16" s="233">
        <v>78.33</v>
      </c>
      <c r="Z16" s="233">
        <v>65.290000000000006</v>
      </c>
      <c r="AA16" s="233">
        <v>295.63</v>
      </c>
      <c r="AB16" s="236"/>
      <c r="AC16" s="236"/>
      <c r="AD16" s="236"/>
      <c r="AE16" s="236"/>
      <c r="AF16" s="236"/>
      <c r="AG16" s="236"/>
      <c r="AH16" s="236"/>
      <c r="AI16" s="236"/>
      <c r="AJ16" s="236"/>
      <c r="AK16" s="236"/>
      <c r="AL16" s="236"/>
    </row>
    <row r="17" spans="1:38" s="121" customFormat="1">
      <c r="A17" s="97"/>
      <c r="B17" s="98" t="s">
        <v>232</v>
      </c>
      <c r="C17" s="237">
        <f t="shared" si="0"/>
        <v>5359.3</v>
      </c>
      <c r="D17" s="238">
        <f t="shared" si="1"/>
        <v>5044.16</v>
      </c>
      <c r="E17" s="237">
        <f t="shared" si="2"/>
        <v>3014.84</v>
      </c>
      <c r="F17" s="239">
        <f t="shared" si="3"/>
        <v>1872.07</v>
      </c>
      <c r="G17" s="240">
        <v>71.94</v>
      </c>
      <c r="H17" s="240">
        <v>132.24</v>
      </c>
      <c r="I17" s="240">
        <v>3.1</v>
      </c>
      <c r="J17" s="240">
        <v>255.73</v>
      </c>
      <c r="K17" s="240">
        <v>1409.06</v>
      </c>
      <c r="L17" s="239">
        <f t="shared" si="4"/>
        <v>1142.77</v>
      </c>
      <c r="M17" s="240">
        <v>388.51</v>
      </c>
      <c r="N17" s="240">
        <v>574.30999999999995</v>
      </c>
      <c r="O17" s="240">
        <v>179.95</v>
      </c>
      <c r="P17" s="239">
        <f t="shared" si="5"/>
        <v>2029.32</v>
      </c>
      <c r="Q17" s="240">
        <v>25.32</v>
      </c>
      <c r="R17" s="240">
        <v>205.67</v>
      </c>
      <c r="S17" s="240">
        <v>358</v>
      </c>
      <c r="T17" s="240">
        <v>274.88</v>
      </c>
      <c r="U17" s="240">
        <v>188.2</v>
      </c>
      <c r="V17" s="240">
        <v>422.94</v>
      </c>
      <c r="W17" s="240">
        <v>238.69</v>
      </c>
      <c r="X17" s="240">
        <v>171.01</v>
      </c>
      <c r="Y17" s="240">
        <v>80.36</v>
      </c>
      <c r="Z17" s="240">
        <v>64.25</v>
      </c>
      <c r="AA17" s="240">
        <v>315.14</v>
      </c>
      <c r="AB17" s="236"/>
      <c r="AC17" s="236"/>
      <c r="AD17" s="236"/>
      <c r="AE17" s="236"/>
      <c r="AF17" s="236"/>
      <c r="AG17" s="236"/>
      <c r="AH17" s="236"/>
      <c r="AI17" s="236"/>
      <c r="AJ17" s="236"/>
      <c r="AK17" s="236"/>
      <c r="AL17" s="236"/>
    </row>
    <row r="18" spans="1:38" s="121" customFormat="1">
      <c r="A18" s="97"/>
      <c r="B18" s="98" t="s">
        <v>233</v>
      </c>
      <c r="C18" s="237">
        <f t="shared" si="0"/>
        <v>5492.0899999999992</v>
      </c>
      <c r="D18" s="238">
        <f t="shared" si="1"/>
        <v>5211.2199999999993</v>
      </c>
      <c r="E18" s="237">
        <f t="shared" si="2"/>
        <v>3056.8199999999997</v>
      </c>
      <c r="F18" s="239">
        <f t="shared" si="3"/>
        <v>1857.02</v>
      </c>
      <c r="G18" s="240">
        <v>66.290000000000006</v>
      </c>
      <c r="H18" s="240">
        <v>136.36000000000001</v>
      </c>
      <c r="I18" s="240">
        <v>2.44</v>
      </c>
      <c r="J18" s="240">
        <v>290.62</v>
      </c>
      <c r="K18" s="240">
        <v>1361.31</v>
      </c>
      <c r="L18" s="239">
        <f t="shared" si="4"/>
        <v>1199.8</v>
      </c>
      <c r="M18" s="240">
        <v>392.44</v>
      </c>
      <c r="N18" s="240">
        <v>595.04</v>
      </c>
      <c r="O18" s="240">
        <v>212.32</v>
      </c>
      <c r="P18" s="239">
        <f t="shared" si="5"/>
        <v>2154.4</v>
      </c>
      <c r="Q18" s="240">
        <v>26.88</v>
      </c>
      <c r="R18" s="240">
        <v>169.21</v>
      </c>
      <c r="S18" s="240">
        <v>360.64</v>
      </c>
      <c r="T18" s="240">
        <v>351.89</v>
      </c>
      <c r="U18" s="240">
        <v>184.01</v>
      </c>
      <c r="V18" s="240">
        <v>435.54</v>
      </c>
      <c r="W18" s="240">
        <v>265.20999999999998</v>
      </c>
      <c r="X18" s="240">
        <v>218.96</v>
      </c>
      <c r="Y18" s="240">
        <v>77.36</v>
      </c>
      <c r="Z18" s="240">
        <v>64.7</v>
      </c>
      <c r="AA18" s="240">
        <v>280.87</v>
      </c>
      <c r="AB18" s="236"/>
      <c r="AC18" s="236"/>
      <c r="AD18" s="236"/>
      <c r="AE18" s="236"/>
      <c r="AF18" s="236"/>
      <c r="AG18" s="236"/>
      <c r="AH18" s="236"/>
      <c r="AI18" s="236"/>
      <c r="AJ18" s="236"/>
      <c r="AK18" s="236"/>
      <c r="AL18" s="236"/>
    </row>
    <row r="19" spans="1:38" s="121" customFormat="1">
      <c r="A19" s="100"/>
      <c r="B19" s="101" t="s">
        <v>234</v>
      </c>
      <c r="C19" s="246">
        <f t="shared" si="0"/>
        <v>5621.1100000000006</v>
      </c>
      <c r="D19" s="242">
        <f t="shared" si="1"/>
        <v>5380.77</v>
      </c>
      <c r="E19" s="242">
        <f t="shared" si="2"/>
        <v>3055.23</v>
      </c>
      <c r="F19" s="243">
        <f t="shared" si="3"/>
        <v>1796.3899999999999</v>
      </c>
      <c r="G19" s="244">
        <v>60.54</v>
      </c>
      <c r="H19" s="244">
        <v>141.6</v>
      </c>
      <c r="I19" s="244">
        <v>2</v>
      </c>
      <c r="J19" s="244">
        <v>265.63</v>
      </c>
      <c r="K19" s="244">
        <v>1326.62</v>
      </c>
      <c r="L19" s="243">
        <f t="shared" si="4"/>
        <v>1258.8400000000001</v>
      </c>
      <c r="M19" s="244">
        <v>387.99</v>
      </c>
      <c r="N19" s="244">
        <v>611.99</v>
      </c>
      <c r="O19" s="244">
        <v>258.86</v>
      </c>
      <c r="P19" s="243">
        <f t="shared" si="5"/>
        <v>2325.5400000000004</v>
      </c>
      <c r="Q19" s="244">
        <v>26.74</v>
      </c>
      <c r="R19" s="244">
        <v>163.66</v>
      </c>
      <c r="S19" s="244">
        <v>430.86</v>
      </c>
      <c r="T19" s="244">
        <v>426.67</v>
      </c>
      <c r="U19" s="244">
        <v>181.46</v>
      </c>
      <c r="V19" s="244">
        <v>432.48</v>
      </c>
      <c r="W19" s="244">
        <v>282.93</v>
      </c>
      <c r="X19" s="244">
        <v>261.39999999999998</v>
      </c>
      <c r="Y19" s="244">
        <v>58.82</v>
      </c>
      <c r="Z19" s="244">
        <v>60.52</v>
      </c>
      <c r="AA19" s="244">
        <v>240.34</v>
      </c>
      <c r="AB19" s="236"/>
      <c r="AC19" s="236"/>
      <c r="AD19" s="236"/>
      <c r="AE19" s="236"/>
      <c r="AF19" s="236"/>
      <c r="AG19" s="236"/>
      <c r="AH19" s="236"/>
      <c r="AI19" s="236"/>
      <c r="AJ19" s="236"/>
      <c r="AK19" s="236"/>
      <c r="AL19" s="236"/>
    </row>
    <row r="20" spans="1:38" s="121" customFormat="1">
      <c r="A20" s="97">
        <v>2014</v>
      </c>
      <c r="B20" s="96" t="s">
        <v>231</v>
      </c>
      <c r="C20" s="247">
        <f t="shared" si="0"/>
        <v>5485.38</v>
      </c>
      <c r="D20" s="238">
        <f t="shared" si="1"/>
        <v>5280.4400000000005</v>
      </c>
      <c r="E20" s="237">
        <f t="shared" si="2"/>
        <v>2959.04</v>
      </c>
      <c r="F20" s="239">
        <f t="shared" si="3"/>
        <v>1729.5500000000002</v>
      </c>
      <c r="G20" s="233">
        <v>55.62</v>
      </c>
      <c r="H20" s="235">
        <v>131.87</v>
      </c>
      <c r="I20" s="235">
        <v>1.58</v>
      </c>
      <c r="J20" s="235">
        <v>260.75</v>
      </c>
      <c r="K20" s="235">
        <v>1279.73</v>
      </c>
      <c r="L20" s="239">
        <f t="shared" si="4"/>
        <v>1229.49</v>
      </c>
      <c r="M20" s="233">
        <v>319.44</v>
      </c>
      <c r="N20" s="235">
        <v>620.23</v>
      </c>
      <c r="O20" s="235">
        <v>289.82</v>
      </c>
      <c r="P20" s="239">
        <f t="shared" si="5"/>
        <v>2321.4</v>
      </c>
      <c r="Q20" s="233">
        <v>29.52</v>
      </c>
      <c r="R20" s="235">
        <v>159.47</v>
      </c>
      <c r="S20" s="235">
        <v>366.37</v>
      </c>
      <c r="T20" s="235">
        <v>448.61</v>
      </c>
      <c r="U20" s="235">
        <v>156.61000000000001</v>
      </c>
      <c r="V20" s="235">
        <v>421.96</v>
      </c>
      <c r="W20" s="235">
        <v>277.14</v>
      </c>
      <c r="X20" s="235">
        <v>349.49</v>
      </c>
      <c r="Y20" s="235">
        <v>59.47</v>
      </c>
      <c r="Z20" s="235">
        <v>52.76</v>
      </c>
      <c r="AA20" s="235">
        <v>204.94</v>
      </c>
      <c r="AB20" s="236"/>
      <c r="AC20" s="236"/>
      <c r="AD20" s="236"/>
      <c r="AE20" s="236"/>
      <c r="AF20" s="236"/>
      <c r="AG20" s="236"/>
      <c r="AH20" s="236"/>
      <c r="AI20" s="236"/>
      <c r="AJ20" s="236"/>
      <c r="AK20" s="236"/>
      <c r="AL20" s="236"/>
    </row>
    <row r="21" spans="1:38" s="121" customFormat="1">
      <c r="A21" s="97"/>
      <c r="B21" s="108" t="s">
        <v>232</v>
      </c>
      <c r="C21" s="247">
        <f t="shared" si="0"/>
        <v>5537.75</v>
      </c>
      <c r="D21" s="238">
        <f t="shared" si="1"/>
        <v>5316.82</v>
      </c>
      <c r="E21" s="237">
        <f t="shared" si="2"/>
        <v>2992.12</v>
      </c>
      <c r="F21" s="239">
        <f t="shared" si="3"/>
        <v>1700.24</v>
      </c>
      <c r="G21" s="240">
        <v>50.57</v>
      </c>
      <c r="H21" s="241">
        <v>141.91999999999999</v>
      </c>
      <c r="I21" s="239">
        <v>1.24</v>
      </c>
      <c r="J21" s="241">
        <v>258.32</v>
      </c>
      <c r="K21" s="239">
        <v>1248.19</v>
      </c>
      <c r="L21" s="239">
        <f t="shared" si="4"/>
        <v>1291.8800000000001</v>
      </c>
      <c r="M21" s="240">
        <v>317.82</v>
      </c>
      <c r="N21" s="241">
        <v>634.16999999999996</v>
      </c>
      <c r="O21" s="239">
        <v>339.89</v>
      </c>
      <c r="P21" s="239">
        <f t="shared" si="5"/>
        <v>2324.7000000000003</v>
      </c>
      <c r="Q21" s="240">
        <v>31.26</v>
      </c>
      <c r="R21" s="241">
        <v>127.65</v>
      </c>
      <c r="S21" s="239">
        <v>306.39</v>
      </c>
      <c r="T21" s="241">
        <v>484.68</v>
      </c>
      <c r="U21" s="239">
        <v>157.87</v>
      </c>
      <c r="V21" s="241">
        <v>447.97</v>
      </c>
      <c r="W21" s="239">
        <v>306.01</v>
      </c>
      <c r="X21" s="241">
        <v>352.09</v>
      </c>
      <c r="Y21" s="239">
        <v>59.96</v>
      </c>
      <c r="Z21" s="241">
        <v>50.82</v>
      </c>
      <c r="AA21" s="239">
        <v>220.93</v>
      </c>
      <c r="AB21" s="236"/>
      <c r="AC21" s="236"/>
      <c r="AD21" s="236"/>
      <c r="AE21" s="236"/>
      <c r="AF21" s="236"/>
      <c r="AG21" s="236"/>
      <c r="AH21" s="236"/>
      <c r="AI21" s="236"/>
      <c r="AJ21" s="236"/>
      <c r="AK21" s="236"/>
      <c r="AL21" s="236"/>
    </row>
    <row r="22" spans="1:38" s="121" customFormat="1">
      <c r="A22" s="97"/>
      <c r="B22" s="108" t="s">
        <v>233</v>
      </c>
      <c r="C22" s="247">
        <f t="shared" si="0"/>
        <v>5619.8600000000006</v>
      </c>
      <c r="D22" s="238">
        <f t="shared" si="1"/>
        <v>5427.81</v>
      </c>
      <c r="E22" s="237">
        <f t="shared" si="2"/>
        <v>2996.85</v>
      </c>
      <c r="F22" s="239">
        <f t="shared" si="3"/>
        <v>1652.31</v>
      </c>
      <c r="G22" s="240">
        <v>46.53</v>
      </c>
      <c r="H22" s="241">
        <v>139.24</v>
      </c>
      <c r="I22" s="239">
        <v>0.96</v>
      </c>
      <c r="J22" s="241">
        <v>253.64</v>
      </c>
      <c r="K22" s="239">
        <v>1211.94</v>
      </c>
      <c r="L22" s="239">
        <f t="shared" si="4"/>
        <v>1344.54</v>
      </c>
      <c r="M22" s="240">
        <v>317.26</v>
      </c>
      <c r="N22" s="241">
        <v>639.12</v>
      </c>
      <c r="O22" s="239">
        <v>388.16</v>
      </c>
      <c r="P22" s="239">
        <f t="shared" si="5"/>
        <v>2430.9600000000005</v>
      </c>
      <c r="Q22" s="240">
        <v>36.729999999999997</v>
      </c>
      <c r="R22" s="241">
        <v>122.99</v>
      </c>
      <c r="S22" s="239">
        <v>292.3</v>
      </c>
      <c r="T22" s="241">
        <v>527.70000000000005</v>
      </c>
      <c r="U22" s="239">
        <v>163.63999999999999</v>
      </c>
      <c r="V22" s="241">
        <v>463.16</v>
      </c>
      <c r="W22" s="239">
        <v>325.48</v>
      </c>
      <c r="X22" s="241">
        <v>389.79</v>
      </c>
      <c r="Y22" s="239">
        <v>59.59</v>
      </c>
      <c r="Z22" s="241">
        <v>49.58</v>
      </c>
      <c r="AA22" s="239">
        <v>192.05</v>
      </c>
      <c r="AB22" s="236"/>
      <c r="AC22" s="236"/>
      <c r="AD22" s="236"/>
      <c r="AE22" s="236"/>
      <c r="AF22" s="236"/>
      <c r="AG22" s="236"/>
      <c r="AH22" s="236"/>
      <c r="AI22" s="236"/>
      <c r="AJ22" s="236"/>
      <c r="AK22" s="236"/>
      <c r="AL22" s="236"/>
    </row>
    <row r="23" spans="1:38" s="121" customFormat="1">
      <c r="A23" s="100"/>
      <c r="B23" s="110" t="s">
        <v>234</v>
      </c>
      <c r="C23" s="246">
        <f t="shared" si="0"/>
        <v>5712.3</v>
      </c>
      <c r="D23" s="242">
        <f t="shared" si="1"/>
        <v>5515.27</v>
      </c>
      <c r="E23" s="242">
        <f t="shared" si="2"/>
        <v>2993.88</v>
      </c>
      <c r="F23" s="243">
        <f t="shared" si="3"/>
        <v>1614.64</v>
      </c>
      <c r="G23" s="244">
        <v>42.59</v>
      </c>
      <c r="H23" s="245">
        <v>142.63999999999999</v>
      </c>
      <c r="I23" s="243">
        <v>0.36</v>
      </c>
      <c r="J23" s="245">
        <v>241.67</v>
      </c>
      <c r="K23" s="243">
        <v>1187.3800000000001</v>
      </c>
      <c r="L23" s="243">
        <f t="shared" si="4"/>
        <v>1379.24</v>
      </c>
      <c r="M23" s="244">
        <v>313.44</v>
      </c>
      <c r="N23" s="245">
        <v>650.53</v>
      </c>
      <c r="O23" s="243">
        <v>415.27</v>
      </c>
      <c r="P23" s="243">
        <f t="shared" si="5"/>
        <v>2521.39</v>
      </c>
      <c r="Q23" s="244">
        <v>37.26</v>
      </c>
      <c r="R23" s="245">
        <v>128.94</v>
      </c>
      <c r="S23" s="243">
        <v>294.24</v>
      </c>
      <c r="T23" s="245">
        <v>652.79999999999995</v>
      </c>
      <c r="U23" s="243">
        <v>137.41</v>
      </c>
      <c r="V23" s="245">
        <v>460.1</v>
      </c>
      <c r="W23" s="243">
        <v>302.63</v>
      </c>
      <c r="X23" s="245">
        <v>412.04</v>
      </c>
      <c r="Y23" s="243">
        <v>44.66</v>
      </c>
      <c r="Z23" s="245">
        <v>51.31</v>
      </c>
      <c r="AA23" s="243">
        <v>197.03</v>
      </c>
      <c r="AB23" s="236"/>
      <c r="AC23" s="236"/>
      <c r="AD23" s="236"/>
      <c r="AE23" s="236"/>
      <c r="AF23" s="236"/>
      <c r="AG23" s="236"/>
      <c r="AH23" s="236"/>
      <c r="AI23" s="236"/>
      <c r="AJ23" s="236"/>
      <c r="AK23" s="236"/>
      <c r="AL23" s="236"/>
    </row>
    <row r="24" spans="1:38" s="121" customFormat="1" ht="14.25" customHeight="1">
      <c r="A24" s="97">
        <v>2015</v>
      </c>
      <c r="B24" s="96" t="s">
        <v>231</v>
      </c>
      <c r="C24" s="247">
        <f t="shared" si="0"/>
        <v>5616.83</v>
      </c>
      <c r="D24" s="238">
        <f t="shared" si="1"/>
        <v>5409.5</v>
      </c>
      <c r="E24" s="237">
        <f t="shared" si="2"/>
        <v>2920.64</v>
      </c>
      <c r="F24" s="239">
        <f t="shared" si="3"/>
        <v>1509.73</v>
      </c>
      <c r="G24" s="240">
        <v>36.369999999999997</v>
      </c>
      <c r="H24" s="235">
        <v>135.19999999999999</v>
      </c>
      <c r="I24" s="239">
        <v>0.28000000000000003</v>
      </c>
      <c r="J24" s="235">
        <v>235.54</v>
      </c>
      <c r="K24" s="235">
        <v>1102.3399999999999</v>
      </c>
      <c r="L24" s="239">
        <f t="shared" si="4"/>
        <v>1410.9099999999999</v>
      </c>
      <c r="M24" s="240">
        <v>321.66000000000003</v>
      </c>
      <c r="N24" s="241">
        <v>651.88</v>
      </c>
      <c r="O24" s="239">
        <v>437.37</v>
      </c>
      <c r="P24" s="239">
        <f t="shared" si="5"/>
        <v>2488.86</v>
      </c>
      <c r="Q24" s="240">
        <v>37.19</v>
      </c>
      <c r="R24" s="235">
        <v>120.85</v>
      </c>
      <c r="S24" s="235">
        <v>282.69</v>
      </c>
      <c r="T24" s="241">
        <v>335.07</v>
      </c>
      <c r="U24" s="239">
        <v>117.88</v>
      </c>
      <c r="V24" s="241">
        <v>416.7</v>
      </c>
      <c r="W24" s="235">
        <v>682.29</v>
      </c>
      <c r="X24" s="248">
        <v>397.87</v>
      </c>
      <c r="Y24" s="248">
        <v>48.15</v>
      </c>
      <c r="Z24" s="248">
        <v>50.17</v>
      </c>
      <c r="AA24" s="249">
        <v>207.33</v>
      </c>
      <c r="AB24" s="236"/>
      <c r="AC24" s="236"/>
      <c r="AD24" s="236"/>
      <c r="AE24" s="236"/>
      <c r="AF24" s="236"/>
      <c r="AG24" s="236"/>
      <c r="AH24" s="236"/>
      <c r="AI24" s="236"/>
      <c r="AJ24" s="236"/>
      <c r="AK24" s="236"/>
      <c r="AL24" s="236"/>
    </row>
    <row r="25" spans="1:38" s="121" customFormat="1" ht="15" customHeight="1">
      <c r="A25" s="97"/>
      <c r="B25" s="108" t="s">
        <v>232</v>
      </c>
      <c r="C25" s="247">
        <f t="shared" si="0"/>
        <v>5884.2499999999991</v>
      </c>
      <c r="D25" s="238">
        <f t="shared" si="1"/>
        <v>5673.9699999999993</v>
      </c>
      <c r="E25" s="237">
        <f t="shared" si="2"/>
        <v>2921.14</v>
      </c>
      <c r="F25" s="239">
        <f t="shared" si="3"/>
        <v>1469.62</v>
      </c>
      <c r="G25" s="240">
        <v>22.93</v>
      </c>
      <c r="H25" s="239">
        <v>143.01</v>
      </c>
      <c r="I25" s="239">
        <v>0.23</v>
      </c>
      <c r="J25" s="241">
        <v>229.7</v>
      </c>
      <c r="K25" s="239">
        <v>1073.75</v>
      </c>
      <c r="L25" s="239">
        <f t="shared" si="4"/>
        <v>1451.52</v>
      </c>
      <c r="M25" s="240">
        <v>333.68</v>
      </c>
      <c r="N25" s="239">
        <v>663.74</v>
      </c>
      <c r="O25" s="239">
        <v>454.1</v>
      </c>
      <c r="P25" s="239">
        <f t="shared" si="5"/>
        <v>2752.83</v>
      </c>
      <c r="Q25" s="240">
        <v>11.36</v>
      </c>
      <c r="R25" s="241">
        <v>125.56</v>
      </c>
      <c r="S25" s="239">
        <v>529.4</v>
      </c>
      <c r="T25" s="239">
        <v>295.20999999999998</v>
      </c>
      <c r="U25" s="239">
        <v>122.64</v>
      </c>
      <c r="V25" s="239">
        <v>471.11</v>
      </c>
      <c r="W25" s="239">
        <v>736.22</v>
      </c>
      <c r="X25" s="250">
        <v>377.52</v>
      </c>
      <c r="Y25" s="250">
        <v>44.14</v>
      </c>
      <c r="Z25" s="250">
        <v>39.67</v>
      </c>
      <c r="AA25" s="250">
        <v>210.28</v>
      </c>
      <c r="AB25" s="236"/>
      <c r="AC25" s="236"/>
      <c r="AD25" s="236"/>
      <c r="AE25" s="236"/>
      <c r="AF25" s="236"/>
      <c r="AG25" s="236"/>
      <c r="AH25" s="236"/>
      <c r="AI25" s="236"/>
      <c r="AJ25" s="236"/>
      <c r="AK25" s="236"/>
      <c r="AL25" s="236"/>
    </row>
    <row r="26" spans="1:38" s="121" customFormat="1" ht="14.25" customHeight="1">
      <c r="A26" s="97"/>
      <c r="B26" s="98" t="s">
        <v>233</v>
      </c>
      <c r="C26" s="247">
        <f t="shared" si="0"/>
        <v>6038.39</v>
      </c>
      <c r="D26" s="238">
        <f t="shared" si="1"/>
        <v>5827.39</v>
      </c>
      <c r="E26" s="237">
        <f t="shared" si="2"/>
        <v>2983.5600000000004</v>
      </c>
      <c r="F26" s="239">
        <f t="shared" si="3"/>
        <v>1544.44</v>
      </c>
      <c r="G26" s="240">
        <v>19.64</v>
      </c>
      <c r="H26" s="239">
        <v>138.57</v>
      </c>
      <c r="I26" s="239">
        <v>0.15</v>
      </c>
      <c r="J26" s="239">
        <v>197.84</v>
      </c>
      <c r="K26" s="239">
        <v>1188.24</v>
      </c>
      <c r="L26" s="239">
        <f t="shared" si="4"/>
        <v>1439.1200000000001</v>
      </c>
      <c r="M26" s="240">
        <v>284.76</v>
      </c>
      <c r="N26" s="240">
        <v>692.32</v>
      </c>
      <c r="O26" s="239">
        <v>462.04</v>
      </c>
      <c r="P26" s="239">
        <f t="shared" si="5"/>
        <v>2843.83</v>
      </c>
      <c r="Q26" s="240">
        <v>11.67</v>
      </c>
      <c r="R26" s="239">
        <v>127.53</v>
      </c>
      <c r="S26" s="239">
        <v>529.32000000000005</v>
      </c>
      <c r="T26" s="239">
        <v>323.81</v>
      </c>
      <c r="U26" s="239">
        <v>135.13999999999999</v>
      </c>
      <c r="V26" s="239">
        <v>483.97</v>
      </c>
      <c r="W26" s="239">
        <v>759.1</v>
      </c>
      <c r="X26" s="250">
        <v>385.6</v>
      </c>
      <c r="Y26" s="250">
        <v>43.57</v>
      </c>
      <c r="Z26" s="250">
        <v>44.12</v>
      </c>
      <c r="AA26" s="250">
        <v>211</v>
      </c>
      <c r="AB26" s="236"/>
      <c r="AC26" s="236"/>
      <c r="AD26" s="236"/>
      <c r="AE26" s="236"/>
      <c r="AF26" s="236"/>
      <c r="AG26" s="236"/>
      <c r="AH26" s="236"/>
      <c r="AI26" s="236"/>
      <c r="AJ26" s="236"/>
      <c r="AK26" s="236"/>
      <c r="AL26" s="236"/>
    </row>
    <row r="27" spans="1:38" s="121" customFormat="1" ht="14.25" customHeight="1">
      <c r="A27" s="100"/>
      <c r="B27" s="110" t="s">
        <v>234</v>
      </c>
      <c r="C27" s="246">
        <f t="shared" si="0"/>
        <v>6114.77</v>
      </c>
      <c r="D27" s="242">
        <f t="shared" si="1"/>
        <v>5951.1</v>
      </c>
      <c r="E27" s="242">
        <f t="shared" si="2"/>
        <v>3096.08</v>
      </c>
      <c r="F27" s="243">
        <f t="shared" si="3"/>
        <v>1654.13</v>
      </c>
      <c r="G27" s="244">
        <v>16.34</v>
      </c>
      <c r="H27" s="243">
        <v>139.6</v>
      </c>
      <c r="I27" s="243">
        <v>0.12</v>
      </c>
      <c r="J27" s="243">
        <v>162.15</v>
      </c>
      <c r="K27" s="243">
        <v>1335.92</v>
      </c>
      <c r="L27" s="243">
        <f t="shared" si="4"/>
        <v>1441.95</v>
      </c>
      <c r="M27" s="244">
        <v>290.60000000000002</v>
      </c>
      <c r="N27" s="244">
        <v>717.1</v>
      </c>
      <c r="O27" s="243">
        <v>434.25</v>
      </c>
      <c r="P27" s="243">
        <f t="shared" si="5"/>
        <v>2855.02</v>
      </c>
      <c r="Q27" s="244">
        <v>11.88</v>
      </c>
      <c r="R27" s="243">
        <v>69.42</v>
      </c>
      <c r="S27" s="243">
        <v>535.17999999999995</v>
      </c>
      <c r="T27" s="243">
        <v>329.6</v>
      </c>
      <c r="U27" s="243">
        <v>128.38999999999999</v>
      </c>
      <c r="V27" s="243">
        <v>471.36</v>
      </c>
      <c r="W27" s="243">
        <v>796.42</v>
      </c>
      <c r="X27" s="251">
        <v>427.53</v>
      </c>
      <c r="Y27" s="251">
        <v>44.71</v>
      </c>
      <c r="Z27" s="251">
        <v>40.53</v>
      </c>
      <c r="AA27" s="251">
        <v>163.66999999999999</v>
      </c>
      <c r="AB27" s="236"/>
      <c r="AC27" s="236"/>
      <c r="AD27" s="236"/>
      <c r="AE27" s="236"/>
      <c r="AF27" s="236"/>
      <c r="AG27" s="236"/>
      <c r="AH27" s="236"/>
      <c r="AI27" s="236"/>
      <c r="AJ27" s="236"/>
      <c r="AK27" s="236"/>
      <c r="AL27" s="236"/>
    </row>
    <row r="28" spans="1:38" s="121" customFormat="1" ht="15" customHeight="1">
      <c r="A28" s="135">
        <v>2016</v>
      </c>
      <c r="B28" s="96" t="s">
        <v>231</v>
      </c>
      <c r="C28" s="247">
        <f t="shared" si="0"/>
        <v>6091.9900000000007</v>
      </c>
      <c r="D28" s="238">
        <f t="shared" si="1"/>
        <v>5950.3200000000006</v>
      </c>
      <c r="E28" s="237">
        <f t="shared" si="2"/>
        <v>3080.09</v>
      </c>
      <c r="F28" s="239">
        <f t="shared" si="3"/>
        <v>1662.31</v>
      </c>
      <c r="G28" s="233">
        <v>18.86</v>
      </c>
      <c r="H28" s="235">
        <v>130.94999999999999</v>
      </c>
      <c r="I28" s="235">
        <v>0.11</v>
      </c>
      <c r="J28" s="235">
        <v>149.82</v>
      </c>
      <c r="K28" s="235">
        <v>1362.57</v>
      </c>
      <c r="L28" s="239">
        <f t="shared" si="4"/>
        <v>1417.78</v>
      </c>
      <c r="M28" s="233">
        <v>277.14999999999998</v>
      </c>
      <c r="N28" s="235">
        <v>717.44</v>
      </c>
      <c r="O28" s="235">
        <v>423.19</v>
      </c>
      <c r="P28" s="239">
        <f t="shared" si="5"/>
        <v>2870.2300000000005</v>
      </c>
      <c r="Q28" s="233">
        <v>13.32</v>
      </c>
      <c r="R28" s="235">
        <v>165.5</v>
      </c>
      <c r="S28" s="235">
        <v>567.55999999999995</v>
      </c>
      <c r="T28" s="235">
        <v>313.2</v>
      </c>
      <c r="U28" s="235">
        <v>125.7</v>
      </c>
      <c r="V28" s="235">
        <v>445.27</v>
      </c>
      <c r="W28" s="235">
        <v>721.64</v>
      </c>
      <c r="X28" s="248">
        <v>440.8</v>
      </c>
      <c r="Y28" s="248">
        <v>38.229999999999997</v>
      </c>
      <c r="Z28" s="248">
        <v>39.01</v>
      </c>
      <c r="AA28" s="248">
        <v>141.66999999999999</v>
      </c>
      <c r="AB28" s="236"/>
      <c r="AC28" s="236"/>
      <c r="AD28" s="236"/>
      <c r="AE28" s="236"/>
      <c r="AF28" s="236"/>
      <c r="AG28" s="236"/>
      <c r="AH28" s="236"/>
      <c r="AI28" s="236"/>
      <c r="AJ28" s="236"/>
      <c r="AK28" s="236"/>
      <c r="AL28" s="236"/>
    </row>
    <row r="29" spans="1:38" s="121" customFormat="1" ht="14.25" customHeight="1">
      <c r="A29" s="97"/>
      <c r="B29" s="98" t="s">
        <v>232</v>
      </c>
      <c r="C29" s="247">
        <f t="shared" si="0"/>
        <v>6017.8899999999994</v>
      </c>
      <c r="D29" s="238">
        <f t="shared" si="1"/>
        <v>5837.8799999999992</v>
      </c>
      <c r="E29" s="237">
        <f t="shared" si="2"/>
        <v>3063.21</v>
      </c>
      <c r="F29" s="239">
        <f t="shared" si="3"/>
        <v>1654.81</v>
      </c>
      <c r="G29" s="240">
        <v>10.47</v>
      </c>
      <c r="H29" s="239">
        <v>129.77000000000001</v>
      </c>
      <c r="I29" s="239">
        <v>0.1</v>
      </c>
      <c r="J29" s="239">
        <v>136.38</v>
      </c>
      <c r="K29" s="239">
        <v>1378.09</v>
      </c>
      <c r="L29" s="239">
        <f t="shared" si="4"/>
        <v>1408.4</v>
      </c>
      <c r="M29" s="240">
        <v>275.16000000000003</v>
      </c>
      <c r="N29" s="239">
        <v>723.26</v>
      </c>
      <c r="O29" s="239">
        <v>409.98</v>
      </c>
      <c r="P29" s="239">
        <f t="shared" si="5"/>
        <v>2774.6699999999996</v>
      </c>
      <c r="Q29" s="240">
        <v>13.54</v>
      </c>
      <c r="R29" s="239">
        <v>178.76</v>
      </c>
      <c r="S29" s="239">
        <v>539.96</v>
      </c>
      <c r="T29" s="239">
        <v>303.39</v>
      </c>
      <c r="U29" s="239">
        <v>103.77</v>
      </c>
      <c r="V29" s="239">
        <v>450.59</v>
      </c>
      <c r="W29" s="239">
        <v>732.31</v>
      </c>
      <c r="X29" s="250">
        <v>389.28</v>
      </c>
      <c r="Y29" s="250">
        <v>34.340000000000003</v>
      </c>
      <c r="Z29" s="250">
        <v>28.73</v>
      </c>
      <c r="AA29" s="250">
        <v>180.01</v>
      </c>
      <c r="AB29" s="236"/>
      <c r="AC29" s="236"/>
      <c r="AD29" s="236"/>
      <c r="AE29" s="236"/>
      <c r="AF29" s="236"/>
      <c r="AG29" s="236"/>
      <c r="AH29" s="236"/>
      <c r="AI29" s="236"/>
      <c r="AJ29" s="236"/>
      <c r="AK29" s="236"/>
      <c r="AL29" s="236"/>
    </row>
    <row r="30" spans="1:38" s="121" customFormat="1" ht="14.25" customHeight="1">
      <c r="A30" s="97"/>
      <c r="B30" s="98" t="s">
        <v>233</v>
      </c>
      <c r="C30" s="247">
        <f t="shared" si="0"/>
        <v>5901.53</v>
      </c>
      <c r="D30" s="238">
        <f t="shared" si="1"/>
        <v>5733.17</v>
      </c>
      <c r="E30" s="237">
        <f t="shared" si="2"/>
        <v>3060.53</v>
      </c>
      <c r="F30" s="239">
        <f t="shared" si="3"/>
        <v>1654.69</v>
      </c>
      <c r="G30" s="240">
        <v>8.82</v>
      </c>
      <c r="H30" s="239">
        <v>128.30000000000001</v>
      </c>
      <c r="I30" s="239">
        <v>0.1</v>
      </c>
      <c r="J30" s="239">
        <v>128.12</v>
      </c>
      <c r="K30" s="239">
        <v>1389.35</v>
      </c>
      <c r="L30" s="239">
        <f t="shared" si="4"/>
        <v>1405.8400000000001</v>
      </c>
      <c r="M30" s="240">
        <v>271.73</v>
      </c>
      <c r="N30" s="239">
        <v>726.47</v>
      </c>
      <c r="O30" s="239">
        <v>407.64</v>
      </c>
      <c r="P30" s="239">
        <f t="shared" si="5"/>
        <v>2672.6400000000003</v>
      </c>
      <c r="Q30" s="240">
        <v>16.36</v>
      </c>
      <c r="R30" s="239">
        <v>142.72</v>
      </c>
      <c r="S30" s="239">
        <v>507.25</v>
      </c>
      <c r="T30" s="239">
        <v>297.92</v>
      </c>
      <c r="U30" s="239">
        <v>102.3</v>
      </c>
      <c r="V30" s="239">
        <v>433.85</v>
      </c>
      <c r="W30" s="239">
        <v>713.97</v>
      </c>
      <c r="X30" s="250">
        <v>395.82</v>
      </c>
      <c r="Y30" s="250">
        <v>34.11</v>
      </c>
      <c r="Z30" s="250">
        <v>28.34</v>
      </c>
      <c r="AA30" s="250">
        <v>168.36</v>
      </c>
      <c r="AB30" s="236"/>
      <c r="AC30" s="236"/>
      <c r="AD30" s="236"/>
      <c r="AE30" s="236"/>
      <c r="AF30" s="236"/>
      <c r="AG30" s="236"/>
      <c r="AH30" s="236"/>
      <c r="AI30" s="236"/>
      <c r="AJ30" s="236"/>
      <c r="AK30" s="236"/>
      <c r="AL30" s="236"/>
    </row>
    <row r="31" spans="1:38" s="121" customFormat="1" ht="14.25" customHeight="1">
      <c r="A31" s="100"/>
      <c r="B31" s="101" t="s">
        <v>234</v>
      </c>
      <c r="C31" s="246">
        <f t="shared" si="0"/>
        <v>5404.2599999999993</v>
      </c>
      <c r="D31" s="242">
        <f t="shared" si="1"/>
        <v>5310.7099999999991</v>
      </c>
      <c r="E31" s="242">
        <f t="shared" si="2"/>
        <v>3054.6099999999997</v>
      </c>
      <c r="F31" s="243">
        <f t="shared" si="3"/>
        <v>1644.6299999999999</v>
      </c>
      <c r="G31" s="244">
        <v>7.55</v>
      </c>
      <c r="H31" s="243">
        <v>127.12</v>
      </c>
      <c r="I31" s="243">
        <v>0.09</v>
      </c>
      <c r="J31" s="243">
        <v>120.82</v>
      </c>
      <c r="K31" s="243">
        <v>1389.05</v>
      </c>
      <c r="L31" s="243">
        <f t="shared" si="4"/>
        <v>1409.98</v>
      </c>
      <c r="M31" s="244">
        <v>281.89</v>
      </c>
      <c r="N31" s="243">
        <v>720.69</v>
      </c>
      <c r="O31" s="243">
        <v>407.4</v>
      </c>
      <c r="P31" s="243">
        <f t="shared" si="5"/>
        <v>2256.1</v>
      </c>
      <c r="Q31" s="244">
        <v>17.739999999999998</v>
      </c>
      <c r="R31" s="243">
        <v>65.680000000000007</v>
      </c>
      <c r="S31" s="243">
        <v>218.12</v>
      </c>
      <c r="T31" s="243">
        <v>297.92</v>
      </c>
      <c r="U31" s="243">
        <v>75.66</v>
      </c>
      <c r="V31" s="243">
        <v>406.65</v>
      </c>
      <c r="W31" s="243">
        <v>687.29</v>
      </c>
      <c r="X31" s="251">
        <v>425.89</v>
      </c>
      <c r="Y31" s="251">
        <v>39.42</v>
      </c>
      <c r="Z31" s="251">
        <v>21.73</v>
      </c>
      <c r="AA31" s="251">
        <v>93.55</v>
      </c>
      <c r="AB31" s="236"/>
      <c r="AC31" s="236"/>
      <c r="AD31" s="236"/>
      <c r="AE31" s="236"/>
      <c r="AF31" s="236"/>
      <c r="AG31" s="236"/>
      <c r="AH31" s="236"/>
      <c r="AI31" s="236"/>
      <c r="AJ31" s="236"/>
      <c r="AK31" s="236"/>
      <c r="AL31" s="236"/>
    </row>
    <row r="32" spans="1:38" s="121" customFormat="1" ht="15" customHeight="1">
      <c r="A32" s="135">
        <v>2017</v>
      </c>
      <c r="B32" s="96" t="s">
        <v>231</v>
      </c>
      <c r="C32" s="247">
        <f t="shared" si="0"/>
        <v>5245.11</v>
      </c>
      <c r="D32" s="238">
        <f t="shared" si="1"/>
        <v>5124.74</v>
      </c>
      <c r="E32" s="237">
        <f t="shared" si="2"/>
        <v>2991.63</v>
      </c>
      <c r="F32" s="237">
        <f t="shared" si="3"/>
        <v>1607.76</v>
      </c>
      <c r="G32" s="252">
        <v>5.95</v>
      </c>
      <c r="H32" s="253">
        <v>114.89</v>
      </c>
      <c r="I32" s="253">
        <v>0.08</v>
      </c>
      <c r="J32" s="253">
        <v>114.42</v>
      </c>
      <c r="K32" s="253">
        <v>1372.42</v>
      </c>
      <c r="L32" s="237">
        <f t="shared" si="4"/>
        <v>1383.87</v>
      </c>
      <c r="M32" s="252">
        <v>265.7</v>
      </c>
      <c r="N32" s="253">
        <v>715.05</v>
      </c>
      <c r="O32" s="253">
        <v>403.12</v>
      </c>
      <c r="P32" s="237">
        <f t="shared" si="5"/>
        <v>2133.11</v>
      </c>
      <c r="Q32" s="252">
        <v>19.05</v>
      </c>
      <c r="R32" s="253">
        <v>39.659999999999997</v>
      </c>
      <c r="S32" s="253">
        <v>204.34</v>
      </c>
      <c r="T32" s="253">
        <v>279.37</v>
      </c>
      <c r="U32" s="253">
        <v>73.55</v>
      </c>
      <c r="V32" s="253">
        <v>392.34</v>
      </c>
      <c r="W32" s="253">
        <v>682.26</v>
      </c>
      <c r="X32" s="248">
        <v>386.99</v>
      </c>
      <c r="Y32" s="248">
        <v>39.520000000000003</v>
      </c>
      <c r="Z32" s="248">
        <v>16.03</v>
      </c>
      <c r="AA32" s="248">
        <v>120.37</v>
      </c>
      <c r="AB32" s="236"/>
      <c r="AC32" s="236"/>
      <c r="AD32" s="236"/>
      <c r="AE32" s="236"/>
      <c r="AF32" s="236"/>
      <c r="AG32" s="236"/>
      <c r="AH32" s="236"/>
      <c r="AI32" s="236"/>
      <c r="AJ32" s="236"/>
      <c r="AK32" s="236"/>
      <c r="AL32" s="236"/>
    </row>
    <row r="33" spans="1:38" s="121" customFormat="1" ht="15" customHeight="1">
      <c r="A33" s="97"/>
      <c r="B33" s="98" t="s">
        <v>232</v>
      </c>
      <c r="C33" s="247">
        <f t="shared" ref="C33:C44" si="6">F33+L33+P33+AA33</f>
        <v>5217.67</v>
      </c>
      <c r="D33" s="237">
        <f t="shared" ref="D33:D44" si="7">E33+P33</f>
        <v>5100.2700000000004</v>
      </c>
      <c r="E33" s="237">
        <f t="shared" ref="E33:E44" si="8">F33+L33</f>
        <v>2981.21</v>
      </c>
      <c r="F33" s="237">
        <f t="shared" ref="F33:F44" si="9">G33+H33+I33+J33+K33</f>
        <v>1621.88</v>
      </c>
      <c r="G33" s="254">
        <v>6.93</v>
      </c>
      <c r="H33" s="237">
        <v>117.35</v>
      </c>
      <c r="I33" s="237">
        <v>0.06</v>
      </c>
      <c r="J33" s="237">
        <v>107.51</v>
      </c>
      <c r="K33" s="237">
        <v>1390.03</v>
      </c>
      <c r="L33" s="237">
        <f t="shared" si="4"/>
        <v>1359.33</v>
      </c>
      <c r="M33" s="254">
        <v>219.01</v>
      </c>
      <c r="N33" s="237">
        <v>730.49</v>
      </c>
      <c r="O33" s="237">
        <v>409.83</v>
      </c>
      <c r="P33" s="237">
        <f t="shared" ref="P33:P64" si="10">Q33+R33+S33+T33+U33+V33+W33+X33+Y33+Z33</f>
        <v>2119.0600000000004</v>
      </c>
      <c r="Q33" s="254">
        <v>28.88</v>
      </c>
      <c r="R33" s="237">
        <v>37.65</v>
      </c>
      <c r="S33" s="237">
        <v>223.1</v>
      </c>
      <c r="T33" s="237">
        <v>250.3</v>
      </c>
      <c r="U33" s="237">
        <v>73.489999999999995</v>
      </c>
      <c r="V33" s="237">
        <v>389.64</v>
      </c>
      <c r="W33" s="237">
        <v>674.05</v>
      </c>
      <c r="X33" s="250">
        <v>389.05</v>
      </c>
      <c r="Y33" s="250">
        <v>38.979999999999997</v>
      </c>
      <c r="Z33" s="250">
        <v>13.92</v>
      </c>
      <c r="AA33" s="250">
        <v>117.4</v>
      </c>
      <c r="AB33" s="236"/>
      <c r="AC33" s="236"/>
      <c r="AD33" s="236"/>
      <c r="AE33" s="236"/>
      <c r="AF33" s="236"/>
      <c r="AG33" s="236"/>
      <c r="AH33" s="236"/>
      <c r="AI33" s="236"/>
      <c r="AJ33" s="236"/>
      <c r="AK33" s="236"/>
      <c r="AL33" s="236"/>
    </row>
    <row r="34" spans="1:38" s="121" customFormat="1" ht="15" customHeight="1">
      <c r="A34" s="97"/>
      <c r="B34" s="98" t="s">
        <v>233</v>
      </c>
      <c r="C34" s="247">
        <f t="shared" si="6"/>
        <v>5186.0999999999995</v>
      </c>
      <c r="D34" s="237">
        <f t="shared" si="7"/>
        <v>5088.1399999999994</v>
      </c>
      <c r="E34" s="237">
        <f t="shared" si="8"/>
        <v>2988.7799999999997</v>
      </c>
      <c r="F34" s="237">
        <f t="shared" si="9"/>
        <v>1621.73</v>
      </c>
      <c r="G34" s="254">
        <v>6.3</v>
      </c>
      <c r="H34" s="237">
        <v>114.08</v>
      </c>
      <c r="I34" s="237">
        <v>0.05</v>
      </c>
      <c r="J34" s="237">
        <v>100.07</v>
      </c>
      <c r="K34" s="237">
        <v>1401.23</v>
      </c>
      <c r="L34" s="237">
        <f t="shared" si="4"/>
        <v>1367.05</v>
      </c>
      <c r="M34" s="254">
        <v>221.67</v>
      </c>
      <c r="N34" s="237">
        <v>726.09</v>
      </c>
      <c r="O34" s="237">
        <v>419.29</v>
      </c>
      <c r="P34" s="237">
        <f t="shared" si="10"/>
        <v>2099.3599999999997</v>
      </c>
      <c r="Q34" s="254">
        <v>31.53</v>
      </c>
      <c r="R34" s="237">
        <v>36.700000000000003</v>
      </c>
      <c r="S34" s="237">
        <v>216.86</v>
      </c>
      <c r="T34" s="237">
        <v>236.39</v>
      </c>
      <c r="U34" s="237">
        <v>63.97</v>
      </c>
      <c r="V34" s="237">
        <v>383.54</v>
      </c>
      <c r="W34" s="237">
        <v>665.42</v>
      </c>
      <c r="X34" s="250">
        <v>413.79</v>
      </c>
      <c r="Y34" s="250">
        <v>36.71</v>
      </c>
      <c r="Z34" s="250">
        <v>14.45</v>
      </c>
      <c r="AA34" s="250">
        <v>97.96</v>
      </c>
      <c r="AB34" s="236"/>
      <c r="AC34" s="236"/>
      <c r="AD34" s="236"/>
      <c r="AE34" s="236"/>
      <c r="AF34" s="236"/>
      <c r="AG34" s="236"/>
      <c r="AH34" s="236"/>
      <c r="AI34" s="236"/>
      <c r="AJ34" s="236"/>
      <c r="AK34" s="236"/>
      <c r="AL34" s="236"/>
    </row>
    <row r="35" spans="1:38" s="121" customFormat="1" ht="15" customHeight="1">
      <c r="A35" s="100"/>
      <c r="B35" s="101" t="s">
        <v>234</v>
      </c>
      <c r="C35" s="246">
        <f t="shared" si="6"/>
        <v>5129.8900000000003</v>
      </c>
      <c r="D35" s="242">
        <f t="shared" si="7"/>
        <v>5024.5</v>
      </c>
      <c r="E35" s="242">
        <f t="shared" si="8"/>
        <v>2970.1099999999997</v>
      </c>
      <c r="F35" s="242">
        <f t="shared" si="9"/>
        <v>1591.6399999999999</v>
      </c>
      <c r="G35" s="255">
        <v>5.24</v>
      </c>
      <c r="H35" s="242">
        <v>114.2</v>
      </c>
      <c r="I35" s="242">
        <v>0.04</v>
      </c>
      <c r="J35" s="242">
        <v>91.86</v>
      </c>
      <c r="K35" s="242">
        <v>1380.3</v>
      </c>
      <c r="L35" s="242">
        <f t="shared" si="4"/>
        <v>1378.47</v>
      </c>
      <c r="M35" s="255">
        <v>217.04</v>
      </c>
      <c r="N35" s="242">
        <v>738.73</v>
      </c>
      <c r="O35" s="242">
        <v>422.7</v>
      </c>
      <c r="P35" s="242">
        <f t="shared" si="10"/>
        <v>2054.3900000000003</v>
      </c>
      <c r="Q35" s="255">
        <v>31.69</v>
      </c>
      <c r="R35" s="242">
        <v>20.399999999999999</v>
      </c>
      <c r="S35" s="242">
        <v>220.38</v>
      </c>
      <c r="T35" s="242">
        <v>208.68</v>
      </c>
      <c r="U35" s="242">
        <v>60.08</v>
      </c>
      <c r="V35" s="242">
        <v>395.51</v>
      </c>
      <c r="W35" s="242">
        <v>671.11</v>
      </c>
      <c r="X35" s="251">
        <v>411.38</v>
      </c>
      <c r="Y35" s="251">
        <v>23.4</v>
      </c>
      <c r="Z35" s="251">
        <v>11.76</v>
      </c>
      <c r="AA35" s="251">
        <v>105.39</v>
      </c>
      <c r="AB35" s="236"/>
      <c r="AC35" s="236"/>
      <c r="AD35" s="236"/>
      <c r="AE35" s="236"/>
      <c r="AF35" s="236"/>
      <c r="AG35" s="236"/>
      <c r="AH35" s="236"/>
      <c r="AI35" s="236"/>
      <c r="AJ35" s="236"/>
      <c r="AK35" s="236"/>
      <c r="AL35" s="236"/>
    </row>
    <row r="36" spans="1:38" s="121" customFormat="1" ht="17.25" customHeight="1">
      <c r="A36" s="135">
        <v>2018</v>
      </c>
      <c r="B36" s="96" t="s">
        <v>231</v>
      </c>
      <c r="C36" s="256">
        <f t="shared" si="6"/>
        <v>5138.4399999999996</v>
      </c>
      <c r="D36" s="257">
        <f t="shared" si="7"/>
        <v>4960.8899999999994</v>
      </c>
      <c r="E36" s="253">
        <f t="shared" si="8"/>
        <v>2952.87</v>
      </c>
      <c r="F36" s="253">
        <f t="shared" si="9"/>
        <v>1577.1999999999998</v>
      </c>
      <c r="G36" s="252">
        <v>5.13</v>
      </c>
      <c r="H36" s="253">
        <v>111.61</v>
      </c>
      <c r="I36" s="253">
        <v>0.06</v>
      </c>
      <c r="J36" s="253">
        <v>86.56</v>
      </c>
      <c r="K36" s="253">
        <v>1373.84</v>
      </c>
      <c r="L36" s="253">
        <f t="shared" si="4"/>
        <v>1375.67</v>
      </c>
      <c r="M36" s="252">
        <v>217.32</v>
      </c>
      <c r="N36" s="253">
        <v>738.48</v>
      </c>
      <c r="O36" s="253">
        <v>419.87</v>
      </c>
      <c r="P36" s="253">
        <f t="shared" si="10"/>
        <v>2008.0199999999998</v>
      </c>
      <c r="Q36" s="252">
        <v>32.14</v>
      </c>
      <c r="R36" s="253">
        <v>46.28</v>
      </c>
      <c r="S36" s="253">
        <v>243.09</v>
      </c>
      <c r="T36" s="253">
        <v>198.77</v>
      </c>
      <c r="U36" s="253">
        <v>42.28</v>
      </c>
      <c r="V36" s="253">
        <v>399.44</v>
      </c>
      <c r="W36" s="253">
        <v>677.89</v>
      </c>
      <c r="X36" s="248">
        <v>331.01</v>
      </c>
      <c r="Y36" s="248">
        <v>27.07</v>
      </c>
      <c r="Z36" s="248">
        <v>10.050000000000001</v>
      </c>
      <c r="AA36" s="248">
        <v>177.55</v>
      </c>
      <c r="AB36" s="236"/>
      <c r="AC36" s="236"/>
      <c r="AD36" s="236"/>
      <c r="AE36" s="236"/>
      <c r="AF36" s="236"/>
      <c r="AG36" s="236"/>
      <c r="AH36" s="236"/>
      <c r="AI36" s="236"/>
      <c r="AJ36" s="236"/>
      <c r="AK36" s="236"/>
      <c r="AL36" s="236"/>
    </row>
    <row r="37" spans="1:38" s="121" customFormat="1" ht="14.25" customHeight="1">
      <c r="A37" s="97"/>
      <c r="B37" s="108" t="s">
        <v>232</v>
      </c>
      <c r="C37" s="258">
        <f t="shared" si="6"/>
        <v>5391.65</v>
      </c>
      <c r="D37" s="237">
        <f t="shared" si="7"/>
        <v>5215.8999999999996</v>
      </c>
      <c r="E37" s="237">
        <f t="shared" si="8"/>
        <v>2946.1400000000003</v>
      </c>
      <c r="F37" s="237">
        <f t="shared" si="9"/>
        <v>1571.97</v>
      </c>
      <c r="G37" s="237">
        <v>4.9400000000000004</v>
      </c>
      <c r="H37" s="237">
        <v>116.17</v>
      </c>
      <c r="I37" s="237">
        <v>0.09</v>
      </c>
      <c r="J37" s="237">
        <v>78.989999999999995</v>
      </c>
      <c r="K37" s="237">
        <v>1371.78</v>
      </c>
      <c r="L37" s="237">
        <f t="shared" si="4"/>
        <v>1374.17</v>
      </c>
      <c r="M37" s="237">
        <v>215.47</v>
      </c>
      <c r="N37" s="237">
        <v>740.05</v>
      </c>
      <c r="O37" s="237">
        <v>418.65</v>
      </c>
      <c r="P37" s="237">
        <f t="shared" si="10"/>
        <v>2269.7599999999998</v>
      </c>
      <c r="Q37" s="237">
        <v>33.299999999999997</v>
      </c>
      <c r="R37" s="237">
        <v>48.2</v>
      </c>
      <c r="S37" s="237">
        <v>248.54</v>
      </c>
      <c r="T37" s="237">
        <v>387.4</v>
      </c>
      <c r="U37" s="237">
        <v>46.41</v>
      </c>
      <c r="V37" s="237">
        <v>413.53</v>
      </c>
      <c r="W37" s="237">
        <v>727.95</v>
      </c>
      <c r="X37" s="250">
        <v>321.83</v>
      </c>
      <c r="Y37" s="250">
        <v>33.35</v>
      </c>
      <c r="Z37" s="250">
        <v>9.25</v>
      </c>
      <c r="AA37" s="250">
        <v>175.75</v>
      </c>
      <c r="AB37" s="236"/>
      <c r="AC37" s="236"/>
      <c r="AD37" s="236"/>
      <c r="AE37" s="236"/>
      <c r="AF37" s="236"/>
      <c r="AG37" s="236"/>
      <c r="AH37" s="236"/>
      <c r="AI37" s="236"/>
      <c r="AJ37" s="236"/>
      <c r="AK37" s="236"/>
      <c r="AL37" s="236"/>
    </row>
    <row r="38" spans="1:38" s="121" customFormat="1" ht="14.25" customHeight="1">
      <c r="A38" s="97"/>
      <c r="B38" s="108" t="s">
        <v>233</v>
      </c>
      <c r="C38" s="247">
        <f t="shared" si="6"/>
        <v>5422.95</v>
      </c>
      <c r="D38" s="237">
        <f t="shared" si="7"/>
        <v>5236.92</v>
      </c>
      <c r="E38" s="237">
        <f t="shared" si="8"/>
        <v>2931.74</v>
      </c>
      <c r="F38" s="237">
        <f t="shared" si="9"/>
        <v>1556.79</v>
      </c>
      <c r="G38" s="237">
        <v>4.41</v>
      </c>
      <c r="H38" s="237">
        <v>115.04</v>
      </c>
      <c r="I38" s="237">
        <v>0.1</v>
      </c>
      <c r="J38" s="237">
        <v>73.44</v>
      </c>
      <c r="K38" s="237">
        <v>1363.8</v>
      </c>
      <c r="L38" s="237">
        <f t="shared" si="4"/>
        <v>1374.9499999999998</v>
      </c>
      <c r="M38" s="237">
        <v>213.91</v>
      </c>
      <c r="N38" s="237">
        <v>744.29</v>
      </c>
      <c r="O38" s="237">
        <v>416.75</v>
      </c>
      <c r="P38" s="237">
        <f t="shared" si="10"/>
        <v>2305.1800000000003</v>
      </c>
      <c r="Q38" s="237">
        <v>31.8</v>
      </c>
      <c r="R38" s="237">
        <v>48.12</v>
      </c>
      <c r="S38" s="237">
        <v>253.15</v>
      </c>
      <c r="T38" s="237">
        <v>490.37</v>
      </c>
      <c r="U38" s="237">
        <v>44.2</v>
      </c>
      <c r="V38" s="237">
        <v>386.05</v>
      </c>
      <c r="W38" s="237">
        <v>703.79</v>
      </c>
      <c r="X38" s="250">
        <v>304.24</v>
      </c>
      <c r="Y38" s="250">
        <v>35.299999999999997</v>
      </c>
      <c r="Z38" s="250">
        <v>8.16</v>
      </c>
      <c r="AA38" s="250">
        <v>186.03</v>
      </c>
      <c r="AB38" s="236"/>
      <c r="AC38" s="236"/>
      <c r="AD38" s="236"/>
      <c r="AE38" s="236"/>
      <c r="AF38" s="236"/>
      <c r="AG38" s="236"/>
      <c r="AH38" s="236"/>
      <c r="AI38" s="236"/>
      <c r="AJ38" s="236"/>
      <c r="AK38" s="236"/>
      <c r="AL38" s="236"/>
    </row>
    <row r="39" spans="1:38" s="121" customFormat="1" ht="14.25" customHeight="1">
      <c r="A39" s="100"/>
      <c r="B39" s="110" t="s">
        <v>234</v>
      </c>
      <c r="C39" s="259">
        <f t="shared" si="6"/>
        <v>5473.51</v>
      </c>
      <c r="D39" s="242">
        <f t="shared" si="7"/>
        <v>5277.09</v>
      </c>
      <c r="E39" s="242">
        <f t="shared" si="8"/>
        <v>2910.13</v>
      </c>
      <c r="F39" s="242">
        <f t="shared" si="9"/>
        <v>1546.1100000000001</v>
      </c>
      <c r="G39" s="242">
        <v>4.22</v>
      </c>
      <c r="H39" s="242">
        <v>117.33</v>
      </c>
      <c r="I39" s="242">
        <v>0.1</v>
      </c>
      <c r="J39" s="242">
        <v>67.540000000000006</v>
      </c>
      <c r="K39" s="242">
        <v>1356.92</v>
      </c>
      <c r="L39" s="242">
        <f t="shared" si="4"/>
        <v>1364.02</v>
      </c>
      <c r="M39" s="242">
        <v>209.2</v>
      </c>
      <c r="N39" s="242">
        <v>736.72</v>
      </c>
      <c r="O39" s="242">
        <v>418.1</v>
      </c>
      <c r="P39" s="242">
        <f t="shared" si="10"/>
        <v>2366.9600000000005</v>
      </c>
      <c r="Q39" s="242">
        <v>23.83</v>
      </c>
      <c r="R39" s="242">
        <v>58.43</v>
      </c>
      <c r="S39" s="242">
        <v>250.4</v>
      </c>
      <c r="T39" s="242">
        <v>572.89</v>
      </c>
      <c r="U39" s="242">
        <v>38.71</v>
      </c>
      <c r="V39" s="242">
        <v>390.46</v>
      </c>
      <c r="W39" s="242">
        <v>708.21</v>
      </c>
      <c r="X39" s="242">
        <v>271.93</v>
      </c>
      <c r="Y39" s="251">
        <v>38.799999999999997</v>
      </c>
      <c r="Z39" s="251">
        <v>13.3</v>
      </c>
      <c r="AA39" s="260">
        <v>196.42</v>
      </c>
      <c r="AB39" s="236"/>
      <c r="AC39" s="236"/>
      <c r="AD39" s="236"/>
      <c r="AE39" s="236"/>
      <c r="AF39" s="236"/>
      <c r="AG39" s="236"/>
      <c r="AH39" s="236"/>
      <c r="AI39" s="236"/>
      <c r="AJ39" s="236"/>
      <c r="AK39" s="236"/>
      <c r="AL39" s="236"/>
    </row>
    <row r="40" spans="1:38" s="121" customFormat="1" ht="15.75" customHeight="1">
      <c r="A40" s="135">
        <v>2019</v>
      </c>
      <c r="B40" s="96" t="s">
        <v>231</v>
      </c>
      <c r="C40" s="261">
        <f t="shared" si="6"/>
        <v>5416</v>
      </c>
      <c r="D40" s="253">
        <f t="shared" si="7"/>
        <v>5199.33</v>
      </c>
      <c r="E40" s="253">
        <f t="shared" si="8"/>
        <v>2895.3</v>
      </c>
      <c r="F40" s="253">
        <f t="shared" si="9"/>
        <v>1526.3700000000001</v>
      </c>
      <c r="G40" s="253">
        <v>2.96</v>
      </c>
      <c r="H40" s="253">
        <v>110.62</v>
      </c>
      <c r="I40" s="253">
        <v>0.11</v>
      </c>
      <c r="J40" s="253">
        <v>61.71</v>
      </c>
      <c r="K40" s="253">
        <v>1350.97</v>
      </c>
      <c r="L40" s="253">
        <f t="shared" si="4"/>
        <v>1368.93</v>
      </c>
      <c r="M40" s="253">
        <v>206.61</v>
      </c>
      <c r="N40" s="253">
        <v>748.33</v>
      </c>
      <c r="O40" s="253">
        <v>413.99</v>
      </c>
      <c r="P40" s="253">
        <f t="shared" si="10"/>
        <v>2304.0300000000002</v>
      </c>
      <c r="Q40" s="253">
        <v>24.49</v>
      </c>
      <c r="R40" s="253">
        <v>47.74</v>
      </c>
      <c r="S40" s="253">
        <v>262.16000000000003</v>
      </c>
      <c r="T40" s="253">
        <v>518.29999999999995</v>
      </c>
      <c r="U40" s="253">
        <v>41.29</v>
      </c>
      <c r="V40" s="253">
        <v>376.79</v>
      </c>
      <c r="W40" s="253">
        <v>739.71</v>
      </c>
      <c r="X40" s="248">
        <v>247.15</v>
      </c>
      <c r="Y40" s="248">
        <v>38.65</v>
      </c>
      <c r="Z40" s="248">
        <v>7.75</v>
      </c>
      <c r="AA40" s="248">
        <v>216.67</v>
      </c>
      <c r="AB40" s="236"/>
      <c r="AC40" s="236"/>
      <c r="AD40" s="236"/>
      <c r="AE40" s="236"/>
      <c r="AF40" s="236"/>
      <c r="AG40" s="236"/>
      <c r="AH40" s="236"/>
      <c r="AI40" s="236"/>
      <c r="AJ40" s="236"/>
      <c r="AK40" s="236"/>
      <c r="AL40" s="236"/>
    </row>
    <row r="41" spans="1:38" s="121" customFormat="1" ht="15.75" customHeight="1">
      <c r="A41" s="97"/>
      <c r="B41" s="108" t="s">
        <v>232</v>
      </c>
      <c r="C41" s="258">
        <f t="shared" si="6"/>
        <v>5499.6</v>
      </c>
      <c r="D41" s="237">
        <f t="shared" si="7"/>
        <v>5277.0700000000006</v>
      </c>
      <c r="E41" s="237">
        <f t="shared" si="8"/>
        <v>2972.8500000000004</v>
      </c>
      <c r="F41" s="237">
        <f t="shared" si="9"/>
        <v>1598.19</v>
      </c>
      <c r="G41" s="237">
        <v>2.97</v>
      </c>
      <c r="H41" s="237">
        <v>115.38</v>
      </c>
      <c r="I41" s="237">
        <v>0.13</v>
      </c>
      <c r="J41" s="237">
        <v>56.82</v>
      </c>
      <c r="K41" s="237">
        <v>1422.89</v>
      </c>
      <c r="L41" s="237">
        <f t="shared" si="4"/>
        <v>1374.66</v>
      </c>
      <c r="M41" s="237">
        <v>203.02</v>
      </c>
      <c r="N41" s="237">
        <v>756.95</v>
      </c>
      <c r="O41" s="237">
        <v>414.69</v>
      </c>
      <c r="P41" s="237">
        <f t="shared" si="10"/>
        <v>2304.2200000000003</v>
      </c>
      <c r="Q41" s="237">
        <v>25.29</v>
      </c>
      <c r="R41" s="237">
        <v>27.26</v>
      </c>
      <c r="S41" s="237">
        <v>276.22000000000003</v>
      </c>
      <c r="T41" s="237">
        <v>491.09</v>
      </c>
      <c r="U41" s="237">
        <v>41.71</v>
      </c>
      <c r="V41" s="237">
        <v>394.37</v>
      </c>
      <c r="W41" s="237">
        <v>770.79</v>
      </c>
      <c r="X41" s="250">
        <v>230.03</v>
      </c>
      <c r="Y41" s="250">
        <v>38.200000000000003</v>
      </c>
      <c r="Z41" s="250">
        <v>9.26</v>
      </c>
      <c r="AA41" s="250">
        <v>222.53</v>
      </c>
      <c r="AB41" s="236"/>
      <c r="AC41" s="236"/>
      <c r="AD41" s="236"/>
      <c r="AE41" s="236"/>
      <c r="AF41" s="236"/>
      <c r="AG41" s="236"/>
      <c r="AH41" s="236"/>
      <c r="AI41" s="236"/>
      <c r="AJ41" s="236"/>
      <c r="AK41" s="236"/>
      <c r="AL41" s="236"/>
    </row>
    <row r="42" spans="1:38" s="121" customFormat="1" ht="15.75" customHeight="1">
      <c r="A42" s="97"/>
      <c r="B42" s="108" t="s">
        <v>233</v>
      </c>
      <c r="C42" s="258">
        <f t="shared" si="6"/>
        <v>5840.3</v>
      </c>
      <c r="D42" s="237">
        <f t="shared" si="7"/>
        <v>5394.16</v>
      </c>
      <c r="E42" s="237">
        <f t="shared" si="8"/>
        <v>3100.43</v>
      </c>
      <c r="F42" s="237">
        <f t="shared" si="9"/>
        <v>1716.4299999999998</v>
      </c>
      <c r="G42" s="237">
        <v>2.96</v>
      </c>
      <c r="H42" s="237">
        <v>114.82</v>
      </c>
      <c r="I42" s="237">
        <v>0.14000000000000001</v>
      </c>
      <c r="J42" s="237">
        <v>52.23</v>
      </c>
      <c r="K42" s="237">
        <v>1546.28</v>
      </c>
      <c r="L42" s="237">
        <f t="shared" si="4"/>
        <v>1384</v>
      </c>
      <c r="M42" s="237">
        <v>197.01</v>
      </c>
      <c r="N42" s="237">
        <v>763.14</v>
      </c>
      <c r="O42" s="237">
        <v>423.85</v>
      </c>
      <c r="P42" s="237">
        <f t="shared" si="10"/>
        <v>2293.7299999999996</v>
      </c>
      <c r="Q42" s="237">
        <v>24.87</v>
      </c>
      <c r="R42" s="237">
        <v>27.85</v>
      </c>
      <c r="S42" s="237">
        <v>303.25</v>
      </c>
      <c r="T42" s="237">
        <v>466.07</v>
      </c>
      <c r="U42" s="237">
        <v>41.52</v>
      </c>
      <c r="V42" s="237">
        <v>385.58</v>
      </c>
      <c r="W42" s="237">
        <v>703.54</v>
      </c>
      <c r="X42" s="237">
        <v>296.43</v>
      </c>
      <c r="Y42" s="237">
        <v>38.21</v>
      </c>
      <c r="Z42" s="237">
        <v>6.41</v>
      </c>
      <c r="AA42" s="237">
        <v>446.14</v>
      </c>
      <c r="AB42" s="236"/>
      <c r="AC42" s="236"/>
      <c r="AD42" s="236"/>
      <c r="AE42" s="236"/>
      <c r="AF42" s="236"/>
      <c r="AG42" s="236"/>
      <c r="AH42" s="236"/>
      <c r="AI42" s="236"/>
      <c r="AJ42" s="236"/>
      <c r="AK42" s="236"/>
      <c r="AL42" s="236"/>
    </row>
    <row r="43" spans="1:38" s="121" customFormat="1" ht="15.75" customHeight="1">
      <c r="A43" s="100"/>
      <c r="B43" s="110" t="s">
        <v>234</v>
      </c>
      <c r="C43" s="259">
        <f t="shared" si="6"/>
        <v>5888.65</v>
      </c>
      <c r="D43" s="242">
        <f t="shared" si="7"/>
        <v>5336.17</v>
      </c>
      <c r="E43" s="242">
        <f t="shared" si="8"/>
        <v>3079.82</v>
      </c>
      <c r="F43" s="242">
        <f t="shared" si="9"/>
        <v>1687.27</v>
      </c>
      <c r="G43" s="242">
        <v>2.73</v>
      </c>
      <c r="H43" s="242">
        <v>118.25</v>
      </c>
      <c r="I43" s="242">
        <v>0.16</v>
      </c>
      <c r="J43" s="242">
        <v>48.94</v>
      </c>
      <c r="K43" s="242">
        <v>1517.19</v>
      </c>
      <c r="L43" s="242">
        <f t="shared" si="4"/>
        <v>1392.5500000000002</v>
      </c>
      <c r="M43" s="242">
        <v>193.21</v>
      </c>
      <c r="N43" s="242">
        <v>774.83</v>
      </c>
      <c r="O43" s="242">
        <v>424.51</v>
      </c>
      <c r="P43" s="242">
        <f t="shared" si="10"/>
        <v>2256.35</v>
      </c>
      <c r="Q43" s="242">
        <v>26</v>
      </c>
      <c r="R43" s="242">
        <v>115.5</v>
      </c>
      <c r="S43" s="242">
        <v>303.92</v>
      </c>
      <c r="T43" s="242">
        <v>424.29</v>
      </c>
      <c r="U43" s="242">
        <v>39.94</v>
      </c>
      <c r="V43" s="242">
        <v>396.7</v>
      </c>
      <c r="W43" s="242">
        <v>698.74</v>
      </c>
      <c r="X43" s="242">
        <v>200.78</v>
      </c>
      <c r="Y43" s="242">
        <v>36.99</v>
      </c>
      <c r="Z43" s="242">
        <v>13.49</v>
      </c>
      <c r="AA43" s="242">
        <v>552.48</v>
      </c>
      <c r="AB43" s="236"/>
      <c r="AC43" s="236"/>
      <c r="AD43" s="236"/>
      <c r="AE43" s="236"/>
      <c r="AF43" s="236"/>
      <c r="AG43" s="236"/>
      <c r="AH43" s="236"/>
      <c r="AI43" s="236"/>
      <c r="AJ43" s="236"/>
      <c r="AK43" s="236"/>
      <c r="AL43" s="236"/>
    </row>
    <row r="44" spans="1:38" s="121" customFormat="1" ht="15.75" customHeight="1">
      <c r="A44" s="135">
        <v>2020</v>
      </c>
      <c r="B44" s="106" t="s">
        <v>231</v>
      </c>
      <c r="C44" s="261">
        <f t="shared" si="6"/>
        <v>6009.8781505818288</v>
      </c>
      <c r="D44" s="253">
        <f t="shared" si="7"/>
        <v>5324.1042071535539</v>
      </c>
      <c r="E44" s="253">
        <f t="shared" si="8"/>
        <v>3033.167348050255</v>
      </c>
      <c r="F44" s="253">
        <f t="shared" si="9"/>
        <v>1628.5450225274913</v>
      </c>
      <c r="G44" s="253">
        <v>2.7016438507855423</v>
      </c>
      <c r="H44" s="253">
        <v>99.892808488687606</v>
      </c>
      <c r="I44" s="253">
        <v>0.17032443999999997</v>
      </c>
      <c r="J44" s="253">
        <v>43.171070430835982</v>
      </c>
      <c r="K44" s="253">
        <v>1482.609175317182</v>
      </c>
      <c r="L44" s="253">
        <f t="shared" si="4"/>
        <v>1404.6223255227637</v>
      </c>
      <c r="M44" s="253">
        <v>191.60718035652613</v>
      </c>
      <c r="N44" s="253">
        <v>791.9548525936259</v>
      </c>
      <c r="O44" s="253">
        <v>421.06029257261184</v>
      </c>
      <c r="P44" s="253">
        <f t="shared" si="10"/>
        <v>2290.9368591032985</v>
      </c>
      <c r="Q44" s="253">
        <v>26.842286110180215</v>
      </c>
      <c r="R44" s="253">
        <v>264.44433666871726</v>
      </c>
      <c r="S44" s="253">
        <v>354.48025288477214</v>
      </c>
      <c r="T44" s="253">
        <v>402.71176493033255</v>
      </c>
      <c r="U44" s="253">
        <v>38.326359841601793</v>
      </c>
      <c r="V44" s="253">
        <v>378.931402453141</v>
      </c>
      <c r="W44" s="253">
        <v>732.57660987092652</v>
      </c>
      <c r="X44" s="253">
        <v>50.188737720027575</v>
      </c>
      <c r="Y44" s="253">
        <v>35.858046143675999</v>
      </c>
      <c r="Z44" s="253">
        <v>6.5770624799240016</v>
      </c>
      <c r="AA44" s="253">
        <v>685.77394342827483</v>
      </c>
      <c r="AB44" s="236"/>
      <c r="AC44" s="236"/>
      <c r="AD44" s="236"/>
      <c r="AE44" s="236"/>
      <c r="AF44" s="236"/>
      <c r="AG44" s="236"/>
      <c r="AH44" s="236"/>
      <c r="AI44" s="236"/>
      <c r="AJ44" s="236"/>
      <c r="AK44" s="236"/>
      <c r="AL44" s="236"/>
    </row>
    <row r="45" spans="1:38" s="121" customFormat="1" ht="15.75" customHeight="1">
      <c r="A45" s="97"/>
      <c r="B45" s="108" t="s">
        <v>232</v>
      </c>
      <c r="C45" s="258">
        <f t="shared" ref="C45:C56" si="11">F45+L45+P45+AA45</f>
        <v>5877.9335978082891</v>
      </c>
      <c r="D45" s="237">
        <f t="shared" ref="D45:D56" si="12">E45+P45</f>
        <v>5233.0660876821967</v>
      </c>
      <c r="E45" s="237">
        <f t="shared" ref="E45:E56" si="13">F45+L45</f>
        <v>2957.3874201997178</v>
      </c>
      <c r="F45" s="237">
        <f t="shared" ref="F45:F56" si="14">G45+H45+I45+J45+K45</f>
        <v>1550.8139783865331</v>
      </c>
      <c r="G45" s="237">
        <v>2.6514797300000001</v>
      </c>
      <c r="H45" s="237">
        <v>95.069887505740681</v>
      </c>
      <c r="I45" s="237">
        <v>0.17986334000000007</v>
      </c>
      <c r="J45" s="237">
        <v>38.96365401794597</v>
      </c>
      <c r="K45" s="237">
        <v>1413.9490937928465</v>
      </c>
      <c r="L45" s="237">
        <f t="shared" si="4"/>
        <v>1406.5734418131849</v>
      </c>
      <c r="M45" s="237">
        <v>189.60918618768429</v>
      </c>
      <c r="N45" s="237">
        <v>799.01734880053505</v>
      </c>
      <c r="O45" s="237">
        <v>417.94690682496554</v>
      </c>
      <c r="P45" s="237">
        <f t="shared" si="10"/>
        <v>2275.6786674824793</v>
      </c>
      <c r="Q45" s="237">
        <v>30.087004262644307</v>
      </c>
      <c r="R45" s="237">
        <v>245.52608153259899</v>
      </c>
      <c r="S45" s="237">
        <v>362.30730736789508</v>
      </c>
      <c r="T45" s="237">
        <v>395.43817034760707</v>
      </c>
      <c r="U45" s="237">
        <v>38.909456008414104</v>
      </c>
      <c r="V45" s="237">
        <v>372.67996968140523</v>
      </c>
      <c r="W45" s="237">
        <v>714.54165471198144</v>
      </c>
      <c r="X45" s="237">
        <v>72.777926888190905</v>
      </c>
      <c r="Y45" s="237">
        <v>36.348616087017007</v>
      </c>
      <c r="Z45" s="237">
        <v>7.0624805947249998</v>
      </c>
      <c r="AA45" s="237">
        <v>644.86751012609193</v>
      </c>
      <c r="AB45" s="236"/>
      <c r="AC45" s="236"/>
      <c r="AD45" s="236"/>
      <c r="AE45" s="236"/>
      <c r="AF45" s="236"/>
      <c r="AG45" s="236"/>
      <c r="AH45" s="236"/>
      <c r="AI45" s="236"/>
      <c r="AJ45" s="236"/>
      <c r="AK45" s="236"/>
      <c r="AL45" s="236"/>
    </row>
    <row r="46" spans="1:38" s="121" customFormat="1" ht="15.75" customHeight="1">
      <c r="A46" s="97"/>
      <c r="B46" s="108" t="s">
        <v>233</v>
      </c>
      <c r="C46" s="247">
        <f t="shared" si="11"/>
        <v>5825.660693600551</v>
      </c>
      <c r="D46" s="237">
        <f t="shared" si="12"/>
        <v>5186.1149494179517</v>
      </c>
      <c r="E46" s="237">
        <f t="shared" si="13"/>
        <v>2849.3304475569166</v>
      </c>
      <c r="F46" s="237">
        <f t="shared" si="14"/>
        <v>1431.6985568558157</v>
      </c>
      <c r="G46" s="237">
        <v>2.5753928400000001</v>
      </c>
      <c r="H46" s="237">
        <v>97.668143027059642</v>
      </c>
      <c r="I46" s="237">
        <v>0.14488248999999997</v>
      </c>
      <c r="J46" s="237">
        <v>35.131544376595002</v>
      </c>
      <c r="K46" s="237">
        <v>1296.178594122161</v>
      </c>
      <c r="L46" s="237">
        <f t="shared" si="4"/>
        <v>1417.6318907011009</v>
      </c>
      <c r="M46" s="237">
        <v>189.04016413641628</v>
      </c>
      <c r="N46" s="237">
        <v>811.7271117968611</v>
      </c>
      <c r="O46" s="237">
        <v>416.86461476782358</v>
      </c>
      <c r="P46" s="237">
        <f t="shared" si="10"/>
        <v>2336.7845018610351</v>
      </c>
      <c r="Q46" s="237">
        <v>32.608915329341094</v>
      </c>
      <c r="R46" s="237">
        <v>234.39365645658648</v>
      </c>
      <c r="S46" s="237">
        <v>478.82073185231718</v>
      </c>
      <c r="T46" s="237">
        <v>330.62925845704297</v>
      </c>
      <c r="U46" s="237">
        <v>40.69606838378747</v>
      </c>
      <c r="V46" s="237">
        <v>343.26602445090532</v>
      </c>
      <c r="W46" s="237">
        <v>753.72363011548407</v>
      </c>
      <c r="X46" s="237">
        <v>82.534890625740786</v>
      </c>
      <c r="Y46" s="237">
        <v>35.072866229599995</v>
      </c>
      <c r="Z46" s="237">
        <v>5.0384599602300009</v>
      </c>
      <c r="AA46" s="237">
        <v>639.54574418259892</v>
      </c>
      <c r="AB46" s="236"/>
      <c r="AC46" s="236"/>
      <c r="AD46" s="236"/>
      <c r="AE46" s="236"/>
      <c r="AF46" s="236"/>
      <c r="AG46" s="236"/>
      <c r="AH46" s="236"/>
      <c r="AI46" s="236"/>
      <c r="AJ46" s="236"/>
      <c r="AK46" s="236"/>
      <c r="AL46" s="236"/>
    </row>
    <row r="47" spans="1:38" s="121" customFormat="1" ht="15.75" customHeight="1">
      <c r="A47" s="100"/>
      <c r="B47" s="110" t="s">
        <v>234</v>
      </c>
      <c r="C47" s="259">
        <f t="shared" si="11"/>
        <v>5824.0887549202462</v>
      </c>
      <c r="D47" s="242">
        <f t="shared" si="12"/>
        <v>5240.1419345779723</v>
      </c>
      <c r="E47" s="242">
        <f t="shared" si="13"/>
        <v>2834.923017134065</v>
      </c>
      <c r="F47" s="242">
        <f t="shared" si="14"/>
        <v>1407.0940137085174</v>
      </c>
      <c r="G47" s="242">
        <v>2.5188136933107734</v>
      </c>
      <c r="H47" s="242">
        <v>100.75389132189554</v>
      </c>
      <c r="I47" s="242">
        <v>0.11449502999999998</v>
      </c>
      <c r="J47" s="242">
        <v>30.222192273429989</v>
      </c>
      <c r="K47" s="242">
        <v>1273.4846213898811</v>
      </c>
      <c r="L47" s="242">
        <f t="shared" si="4"/>
        <v>1427.8290034255474</v>
      </c>
      <c r="M47" s="242">
        <v>188.26354148771239</v>
      </c>
      <c r="N47" s="242">
        <v>825.79637702128468</v>
      </c>
      <c r="O47" s="242">
        <v>413.76908491655041</v>
      </c>
      <c r="P47" s="242">
        <f t="shared" si="10"/>
        <v>2405.2189174439068</v>
      </c>
      <c r="Q47" s="242">
        <v>34.764486665722373</v>
      </c>
      <c r="R47" s="242">
        <v>184.46108887793352</v>
      </c>
      <c r="S47" s="242">
        <v>501.82866550441059</v>
      </c>
      <c r="T47" s="242">
        <v>325.631254116175</v>
      </c>
      <c r="U47" s="242">
        <v>43.701711974315884</v>
      </c>
      <c r="V47" s="242">
        <v>347.35112750385667</v>
      </c>
      <c r="W47" s="242">
        <v>766.67628203090351</v>
      </c>
      <c r="X47" s="242">
        <v>159.46032355798263</v>
      </c>
      <c r="Y47" s="242">
        <v>35.227653842251726</v>
      </c>
      <c r="Z47" s="242">
        <v>6.1163233703549995</v>
      </c>
      <c r="AA47" s="242">
        <v>583.94682034227424</v>
      </c>
      <c r="AB47" s="236"/>
      <c r="AC47" s="236"/>
      <c r="AD47" s="236"/>
      <c r="AE47" s="236"/>
      <c r="AF47" s="236"/>
      <c r="AG47" s="236"/>
      <c r="AH47" s="236"/>
      <c r="AI47" s="236"/>
      <c r="AJ47" s="236"/>
      <c r="AK47" s="236"/>
      <c r="AL47" s="236"/>
    </row>
    <row r="48" spans="1:38" s="121" customFormat="1" ht="15.75" customHeight="1">
      <c r="A48" s="135">
        <v>2021</v>
      </c>
      <c r="B48" s="106" t="s">
        <v>231</v>
      </c>
      <c r="C48" s="256">
        <f t="shared" si="11"/>
        <v>5829.676811620282</v>
      </c>
      <c r="D48" s="253">
        <f t="shared" si="12"/>
        <v>5163.7326077615444</v>
      </c>
      <c r="E48" s="253">
        <f t="shared" si="13"/>
        <v>2818.3772642437852</v>
      </c>
      <c r="F48" s="253">
        <f t="shared" si="14"/>
        <v>1383.6694048979186</v>
      </c>
      <c r="G48" s="253">
        <v>2.4211786893880487</v>
      </c>
      <c r="H48" s="253">
        <v>95.485992811489041</v>
      </c>
      <c r="I48" s="253">
        <v>0.11027431999999998</v>
      </c>
      <c r="J48" s="253">
        <v>26.442597097116035</v>
      </c>
      <c r="K48" s="253">
        <v>1259.2093619799255</v>
      </c>
      <c r="L48" s="253">
        <f t="shared" si="4"/>
        <v>1434.7078593458668</v>
      </c>
      <c r="M48" s="253">
        <v>187.96120958595904</v>
      </c>
      <c r="N48" s="253">
        <v>838.75079051609407</v>
      </c>
      <c r="O48" s="253">
        <v>407.99585924381387</v>
      </c>
      <c r="P48" s="253">
        <f t="shared" si="10"/>
        <v>2345.3553435177591</v>
      </c>
      <c r="Q48" s="253">
        <v>37.866554253429278</v>
      </c>
      <c r="R48" s="253">
        <v>195.31819582252751</v>
      </c>
      <c r="S48" s="253">
        <v>497.6227314294315</v>
      </c>
      <c r="T48" s="253">
        <v>322.73462982586557</v>
      </c>
      <c r="U48" s="253">
        <v>37.56144265247989</v>
      </c>
      <c r="V48" s="253">
        <v>353.78806908582106</v>
      </c>
      <c r="W48" s="253">
        <v>764.04514866928071</v>
      </c>
      <c r="X48" s="253">
        <v>94.193068339327056</v>
      </c>
      <c r="Y48" s="253">
        <v>36.47667940221767</v>
      </c>
      <c r="Z48" s="253">
        <v>5.7488240373789994</v>
      </c>
      <c r="AA48" s="253">
        <v>665.94420385873764</v>
      </c>
      <c r="AB48" s="236"/>
      <c r="AC48" s="236"/>
      <c r="AD48" s="236"/>
      <c r="AE48" s="236"/>
      <c r="AF48" s="236"/>
      <c r="AG48" s="236"/>
      <c r="AH48" s="236"/>
      <c r="AI48" s="236"/>
      <c r="AJ48" s="236"/>
      <c r="AK48" s="236"/>
      <c r="AL48" s="236"/>
    </row>
    <row r="49" spans="1:38" s="121" customFormat="1" ht="15.75" customHeight="1">
      <c r="A49" s="97"/>
      <c r="B49" s="108" t="s">
        <v>232</v>
      </c>
      <c r="C49" s="258">
        <f t="shared" si="11"/>
        <v>5965.6431461884413</v>
      </c>
      <c r="D49" s="237">
        <f t="shared" si="12"/>
        <v>5251.8153471546575</v>
      </c>
      <c r="E49" s="237">
        <f t="shared" si="13"/>
        <v>2825.636524042834</v>
      </c>
      <c r="F49" s="237">
        <f t="shared" si="14"/>
        <v>1380.4660507300375</v>
      </c>
      <c r="G49" s="237">
        <v>2.4595104563894767</v>
      </c>
      <c r="H49" s="237">
        <v>98.378372468157465</v>
      </c>
      <c r="I49" s="237">
        <v>0.10167035999999999</v>
      </c>
      <c r="J49" s="237">
        <v>22.79793772598499</v>
      </c>
      <c r="K49" s="237">
        <v>1256.7285597195055</v>
      </c>
      <c r="L49" s="237">
        <f t="shared" si="4"/>
        <v>1445.1704733127967</v>
      </c>
      <c r="M49" s="237">
        <v>186.52057136962327</v>
      </c>
      <c r="N49" s="237">
        <v>853.16094606863487</v>
      </c>
      <c r="O49" s="237">
        <v>405.48895587453865</v>
      </c>
      <c r="P49" s="237">
        <f t="shared" si="10"/>
        <v>2426.1788231118239</v>
      </c>
      <c r="Q49" s="237">
        <v>45.045113507864151</v>
      </c>
      <c r="R49" s="237">
        <v>4.0439210000040478E-2</v>
      </c>
      <c r="S49" s="237">
        <v>532.38966099666322</v>
      </c>
      <c r="T49" s="237">
        <v>280.28839085433202</v>
      </c>
      <c r="U49" s="237">
        <v>36.214546646771645</v>
      </c>
      <c r="V49" s="237">
        <v>362.84162344350426</v>
      </c>
      <c r="W49" s="237">
        <v>724.24390935978022</v>
      </c>
      <c r="X49" s="237">
        <v>401.40133199187017</v>
      </c>
      <c r="Y49" s="237">
        <v>37.110619571933142</v>
      </c>
      <c r="Z49" s="237">
        <v>6.6031875291050017</v>
      </c>
      <c r="AA49" s="237">
        <v>713.82779903378355</v>
      </c>
      <c r="AB49" s="236"/>
      <c r="AC49" s="236"/>
      <c r="AD49" s="236"/>
      <c r="AE49" s="236"/>
      <c r="AF49" s="236"/>
      <c r="AG49" s="236"/>
      <c r="AH49" s="236"/>
      <c r="AI49" s="236"/>
      <c r="AJ49" s="236"/>
      <c r="AK49" s="236"/>
      <c r="AL49" s="236"/>
    </row>
    <row r="50" spans="1:38" s="121" customFormat="1" ht="15.75" customHeight="1">
      <c r="A50" s="97"/>
      <c r="B50" s="108" t="s">
        <v>233</v>
      </c>
      <c r="C50" s="247">
        <f t="shared" si="11"/>
        <v>5977.1953232511623</v>
      </c>
      <c r="D50" s="237">
        <f t="shared" si="12"/>
        <v>5180.4913159371372</v>
      </c>
      <c r="E50" s="237">
        <f t="shared" si="13"/>
        <v>2798.0810440115802</v>
      </c>
      <c r="F50" s="237">
        <f t="shared" si="14"/>
        <v>1357.0083442092296</v>
      </c>
      <c r="G50" s="237">
        <v>2.5861595405222051</v>
      </c>
      <c r="H50" s="237">
        <v>90.905610206395735</v>
      </c>
      <c r="I50" s="237">
        <v>0.10215904000000001</v>
      </c>
      <c r="J50" s="237">
        <v>19.807543915832014</v>
      </c>
      <c r="K50" s="237">
        <v>1243.6068715064796</v>
      </c>
      <c r="L50" s="237">
        <f t="shared" si="4"/>
        <v>1441.0726998023506</v>
      </c>
      <c r="M50" s="237">
        <v>184.45124472701568</v>
      </c>
      <c r="N50" s="237">
        <v>854.02561604555626</v>
      </c>
      <c r="O50" s="237">
        <v>402.59583902977886</v>
      </c>
      <c r="P50" s="237">
        <f t="shared" si="10"/>
        <v>2382.4102719255575</v>
      </c>
      <c r="Q50" s="237">
        <v>41.880531428918559</v>
      </c>
      <c r="R50" s="237">
        <v>2.700972999999067E-2</v>
      </c>
      <c r="S50" s="237">
        <v>493.10632445553222</v>
      </c>
      <c r="T50" s="237">
        <v>258.44825683432146</v>
      </c>
      <c r="U50" s="237">
        <v>31.353550526812999</v>
      </c>
      <c r="V50" s="237">
        <v>354.3692832745719</v>
      </c>
      <c r="W50" s="237">
        <v>704.68362975564003</v>
      </c>
      <c r="X50" s="237">
        <v>431.02444813768238</v>
      </c>
      <c r="Y50" s="237">
        <v>36.418681973914943</v>
      </c>
      <c r="Z50" s="237">
        <v>31.098555808162999</v>
      </c>
      <c r="AA50" s="237">
        <v>796.70400731402538</v>
      </c>
      <c r="AB50" s="236"/>
      <c r="AC50" s="236"/>
      <c r="AD50" s="236"/>
      <c r="AE50" s="236"/>
      <c r="AF50" s="236"/>
      <c r="AG50" s="236"/>
      <c r="AH50" s="236"/>
      <c r="AI50" s="236"/>
      <c r="AJ50" s="236"/>
      <c r="AK50" s="236"/>
      <c r="AL50" s="236"/>
    </row>
    <row r="51" spans="1:38" s="121" customFormat="1" ht="15.75" customHeight="1">
      <c r="A51" s="100"/>
      <c r="B51" s="110" t="s">
        <v>234</v>
      </c>
      <c r="C51" s="259">
        <f t="shared" si="11"/>
        <v>6090.4262024577229</v>
      </c>
      <c r="D51" s="242">
        <f t="shared" si="12"/>
        <v>5321.7716152975081</v>
      </c>
      <c r="E51" s="242">
        <f t="shared" si="13"/>
        <v>2774.8645072136096</v>
      </c>
      <c r="F51" s="242">
        <f t="shared" si="14"/>
        <v>1328.5748458243331</v>
      </c>
      <c r="G51" s="242">
        <v>2.6225920899894195</v>
      </c>
      <c r="H51" s="242">
        <v>94.336626532138339</v>
      </c>
      <c r="I51" s="242">
        <v>8.871989000000001E-2</v>
      </c>
      <c r="J51" s="242">
        <v>16.430692377007013</v>
      </c>
      <c r="K51" s="242">
        <v>1215.0962149351983</v>
      </c>
      <c r="L51" s="242">
        <f t="shared" si="4"/>
        <v>1446.2896613892767</v>
      </c>
      <c r="M51" s="242">
        <v>184.52216114013558</v>
      </c>
      <c r="N51" s="242">
        <v>867.28931544748855</v>
      </c>
      <c r="O51" s="242">
        <v>394.47818480165256</v>
      </c>
      <c r="P51" s="242">
        <f t="shared" si="10"/>
        <v>2546.9071080838985</v>
      </c>
      <c r="Q51" s="242">
        <v>40.020247214017708</v>
      </c>
      <c r="R51" s="242">
        <v>6.8051380000018979E-2</v>
      </c>
      <c r="S51" s="242">
        <v>658.41830411088233</v>
      </c>
      <c r="T51" s="242">
        <v>235.85109252216301</v>
      </c>
      <c r="U51" s="242">
        <v>30.739558102737345</v>
      </c>
      <c r="V51" s="242">
        <v>353.77696702966716</v>
      </c>
      <c r="W51" s="242">
        <v>685.96280332685342</v>
      </c>
      <c r="X51" s="242">
        <v>473.14089863000089</v>
      </c>
      <c r="Y51" s="242">
        <v>37.783695508111499</v>
      </c>
      <c r="Z51" s="242">
        <v>31.145490259465006</v>
      </c>
      <c r="AA51" s="242">
        <v>768.65458716021453</v>
      </c>
      <c r="AB51" s="236"/>
      <c r="AC51" s="236"/>
      <c r="AD51" s="236"/>
      <c r="AE51" s="236"/>
      <c r="AF51" s="236"/>
      <c r="AG51" s="236"/>
      <c r="AH51" s="236"/>
      <c r="AI51" s="236"/>
      <c r="AJ51" s="236"/>
      <c r="AK51" s="236"/>
      <c r="AL51" s="236"/>
    </row>
    <row r="52" spans="1:38" s="121" customFormat="1" ht="15.75" customHeight="1">
      <c r="A52" s="135">
        <v>2022</v>
      </c>
      <c r="B52" s="106" t="s">
        <v>231</v>
      </c>
      <c r="C52" s="256">
        <f t="shared" si="11"/>
        <v>6199.3683714685012</v>
      </c>
      <c r="D52" s="253">
        <f t="shared" si="12"/>
        <v>5372.7985397784387</v>
      </c>
      <c r="E52" s="253">
        <f t="shared" si="13"/>
        <v>2773.3276925014861</v>
      </c>
      <c r="F52" s="253">
        <f t="shared" si="14"/>
        <v>1324.2671610019634</v>
      </c>
      <c r="G52" s="253">
        <v>3.2002853902939328</v>
      </c>
      <c r="H52" s="253">
        <v>91.967595738172264</v>
      </c>
      <c r="I52" s="253">
        <v>9.1319249999999991E-2</v>
      </c>
      <c r="J52" s="253">
        <v>13.479127704838996</v>
      </c>
      <c r="K52" s="253">
        <v>1215.5288329186581</v>
      </c>
      <c r="L52" s="253">
        <f t="shared" si="4"/>
        <v>1449.060531499523</v>
      </c>
      <c r="M52" s="253">
        <v>184.82456215204095</v>
      </c>
      <c r="N52" s="253">
        <v>877.92111902504598</v>
      </c>
      <c r="O52" s="253">
        <v>386.31485032243609</v>
      </c>
      <c r="P52" s="253">
        <f t="shared" si="10"/>
        <v>2599.4708472769526</v>
      </c>
      <c r="Q52" s="253">
        <v>32.677177447312594</v>
      </c>
      <c r="R52" s="253">
        <v>5.0857979999971575E-2</v>
      </c>
      <c r="S52" s="253">
        <v>727.73746277444764</v>
      </c>
      <c r="T52" s="253">
        <v>256.60571836056948</v>
      </c>
      <c r="U52" s="253">
        <v>29.062022794082999</v>
      </c>
      <c r="V52" s="253">
        <v>350.43747657632463</v>
      </c>
      <c r="W52" s="253">
        <v>670.2562787841506</v>
      </c>
      <c r="X52" s="253">
        <v>469.40688152071203</v>
      </c>
      <c r="Y52" s="253">
        <v>36.847325517637003</v>
      </c>
      <c r="Z52" s="253">
        <v>26.389645521716005</v>
      </c>
      <c r="AA52" s="253">
        <v>826.5698316900623</v>
      </c>
      <c r="AB52" s="236"/>
      <c r="AC52" s="236"/>
      <c r="AD52" s="236"/>
      <c r="AE52" s="236"/>
      <c r="AF52" s="236"/>
      <c r="AG52" s="236"/>
      <c r="AH52" s="236"/>
      <c r="AI52" s="236"/>
      <c r="AJ52" s="236"/>
      <c r="AK52" s="236"/>
      <c r="AL52" s="236"/>
    </row>
    <row r="53" spans="1:38" s="121" customFormat="1" ht="15.75" customHeight="1">
      <c r="A53" s="97"/>
      <c r="B53" s="108" t="s">
        <v>232</v>
      </c>
      <c r="C53" s="247">
        <f t="shared" si="11"/>
        <v>6277.7555320279307</v>
      </c>
      <c r="D53" s="237">
        <f t="shared" si="12"/>
        <v>5490.1615282529237</v>
      </c>
      <c r="E53" s="237">
        <f t="shared" si="13"/>
        <v>2782.313991581927</v>
      </c>
      <c r="F53" s="237">
        <f t="shared" si="14"/>
        <v>1322.8901409310745</v>
      </c>
      <c r="G53" s="237">
        <v>3.5927591131321317</v>
      </c>
      <c r="H53" s="237">
        <v>98.383222223358686</v>
      </c>
      <c r="I53" s="237">
        <v>9.9076480000000008E-2</v>
      </c>
      <c r="J53" s="237">
        <v>10.652785381715011</v>
      </c>
      <c r="K53" s="237">
        <v>1210.1622977328686</v>
      </c>
      <c r="L53" s="237">
        <f t="shared" si="4"/>
        <v>1459.4238506508525</v>
      </c>
      <c r="M53" s="237">
        <v>184.42922402372193</v>
      </c>
      <c r="N53" s="237">
        <v>895.56833416044367</v>
      </c>
      <c r="O53" s="237">
        <v>379.4262924666869</v>
      </c>
      <c r="P53" s="237">
        <f t="shared" si="10"/>
        <v>2707.8475366709963</v>
      </c>
      <c r="Q53" s="237">
        <v>35.546437615765498</v>
      </c>
      <c r="R53" s="237">
        <v>6.9608580004947726E-2</v>
      </c>
      <c r="S53" s="237">
        <v>834.74717809146807</v>
      </c>
      <c r="T53" s="237">
        <v>236.20966365532348</v>
      </c>
      <c r="U53" s="237">
        <v>36.503718553797</v>
      </c>
      <c r="V53" s="237">
        <v>358.98213399624404</v>
      </c>
      <c r="W53" s="237">
        <v>665.9692950142304</v>
      </c>
      <c r="X53" s="237">
        <v>475.28014564459511</v>
      </c>
      <c r="Y53" s="237">
        <v>35.1956998235</v>
      </c>
      <c r="Z53" s="237">
        <v>29.343655696067994</v>
      </c>
      <c r="AA53" s="237">
        <v>787.5940037750072</v>
      </c>
      <c r="AB53" s="236"/>
      <c r="AC53" s="236"/>
      <c r="AD53" s="236"/>
      <c r="AE53" s="236"/>
      <c r="AF53" s="236"/>
      <c r="AG53" s="236"/>
      <c r="AH53" s="236"/>
      <c r="AI53" s="236"/>
      <c r="AJ53" s="236"/>
      <c r="AK53" s="236"/>
      <c r="AL53" s="236"/>
    </row>
    <row r="54" spans="1:38" s="121" customFormat="1" ht="15.75" customHeight="1">
      <c r="A54" s="97"/>
      <c r="B54" s="108" t="s">
        <v>233</v>
      </c>
      <c r="C54" s="247">
        <f t="shared" si="11"/>
        <v>6459.2450440468165</v>
      </c>
      <c r="D54" s="237">
        <f t="shared" si="12"/>
        <v>5620.4849691932668</v>
      </c>
      <c r="E54" s="237">
        <f t="shared" si="13"/>
        <v>2798.441209036474</v>
      </c>
      <c r="F54" s="237">
        <f t="shared" si="14"/>
        <v>1332.7536179691697</v>
      </c>
      <c r="G54" s="237">
        <v>4.2289647354438484</v>
      </c>
      <c r="H54" s="237">
        <v>101.75530041967647</v>
      </c>
      <c r="I54" s="237">
        <v>8.1000000000000003E-2</v>
      </c>
      <c r="J54" s="237">
        <v>8.3064044281559983</v>
      </c>
      <c r="K54" s="237">
        <v>1218.3819483858933</v>
      </c>
      <c r="L54" s="237">
        <f t="shared" si="4"/>
        <v>1465.6875910673043</v>
      </c>
      <c r="M54" s="237">
        <v>181.71920754423283</v>
      </c>
      <c r="N54" s="237">
        <v>916.07738499459447</v>
      </c>
      <c r="O54" s="237">
        <v>367.89099852847687</v>
      </c>
      <c r="P54" s="237">
        <f t="shared" si="10"/>
        <v>2822.0437601567924</v>
      </c>
      <c r="Q54" s="237">
        <v>33.370711577639895</v>
      </c>
      <c r="R54" s="237">
        <v>7.320285999996122E-2</v>
      </c>
      <c r="S54" s="237">
        <v>974.830158544097</v>
      </c>
      <c r="T54" s="237">
        <v>215.16964941413801</v>
      </c>
      <c r="U54" s="237">
        <v>38.924763247160996</v>
      </c>
      <c r="V54" s="237">
        <v>363.7806804561431</v>
      </c>
      <c r="W54" s="237">
        <v>674.7863503078255</v>
      </c>
      <c r="X54" s="237">
        <v>456.94408667924336</v>
      </c>
      <c r="Y54" s="237">
        <v>34.977295985445998</v>
      </c>
      <c r="Z54" s="237">
        <v>29.186861085099</v>
      </c>
      <c r="AA54" s="237">
        <v>838.76007485355012</v>
      </c>
      <c r="AB54" s="236"/>
      <c r="AC54" s="236"/>
      <c r="AD54" s="236"/>
      <c r="AE54" s="236"/>
      <c r="AF54" s="236"/>
      <c r="AG54" s="236"/>
      <c r="AH54" s="236"/>
      <c r="AI54" s="236"/>
      <c r="AJ54" s="236"/>
      <c r="AK54" s="236"/>
      <c r="AL54" s="236"/>
    </row>
    <row r="55" spans="1:38" s="121" customFormat="1" ht="15.75" customHeight="1">
      <c r="A55" s="100"/>
      <c r="B55" s="110" t="s">
        <v>234</v>
      </c>
      <c r="C55" s="246">
        <f t="shared" si="11"/>
        <v>6379.6873213425788</v>
      </c>
      <c r="D55" s="242">
        <f t="shared" si="12"/>
        <v>5582.3575183843914</v>
      </c>
      <c r="E55" s="242">
        <f t="shared" si="13"/>
        <v>2811.4973259814628</v>
      </c>
      <c r="F55" s="242">
        <f t="shared" si="14"/>
        <v>1344.1656856187074</v>
      </c>
      <c r="G55" s="242">
        <v>4.9043958399995677</v>
      </c>
      <c r="H55" s="242">
        <v>108.22440998488207</v>
      </c>
      <c r="I55" s="242">
        <v>9.6000000000000002E-2</v>
      </c>
      <c r="J55" s="242">
        <v>6.2057067581439957</v>
      </c>
      <c r="K55" s="242">
        <v>1224.7351730356818</v>
      </c>
      <c r="L55" s="242">
        <f t="shared" si="4"/>
        <v>1467.3316403627555</v>
      </c>
      <c r="M55" s="242">
        <v>180.35536585247246</v>
      </c>
      <c r="N55" s="242">
        <v>926.25719085003641</v>
      </c>
      <c r="O55" s="242">
        <v>360.71908366024667</v>
      </c>
      <c r="P55" s="242">
        <f t="shared" si="10"/>
        <v>2770.860192402929</v>
      </c>
      <c r="Q55" s="242">
        <v>34.361753510883268</v>
      </c>
      <c r="R55" s="242">
        <v>5.6172509999945761E-2</v>
      </c>
      <c r="S55" s="242">
        <v>991.75932939731092</v>
      </c>
      <c r="T55" s="242">
        <v>189.650079775807</v>
      </c>
      <c r="U55" s="242">
        <v>38.781741923897989</v>
      </c>
      <c r="V55" s="242">
        <v>358.89454459921268</v>
      </c>
      <c r="W55" s="242">
        <v>641.4537050327516</v>
      </c>
      <c r="X55" s="242">
        <v>449.3062396540098</v>
      </c>
      <c r="Y55" s="242">
        <v>35.792518622044994</v>
      </c>
      <c r="Z55" s="242">
        <v>30.804107377011</v>
      </c>
      <c r="AA55" s="242">
        <v>797.3298029581872</v>
      </c>
      <c r="AB55" s="236"/>
      <c r="AC55" s="236"/>
      <c r="AD55" s="236"/>
      <c r="AE55" s="236"/>
      <c r="AF55" s="236"/>
      <c r="AG55" s="236"/>
      <c r="AH55" s="236"/>
      <c r="AI55" s="236"/>
      <c r="AJ55" s="236"/>
      <c r="AK55" s="236"/>
      <c r="AL55" s="236"/>
    </row>
    <row r="56" spans="1:38" s="121" customFormat="1" ht="15.75" customHeight="1">
      <c r="A56" s="135">
        <v>2023</v>
      </c>
      <c r="B56" s="106" t="s">
        <v>231</v>
      </c>
      <c r="C56" s="256">
        <f t="shared" si="11"/>
        <v>6319.5980946808631</v>
      </c>
      <c r="D56" s="253">
        <f t="shared" si="12"/>
        <v>5467.8000828739932</v>
      </c>
      <c r="E56" s="253">
        <f t="shared" si="13"/>
        <v>2827.5933088724137</v>
      </c>
      <c r="F56" s="253">
        <f t="shared" si="14"/>
        <v>1348.651690869636</v>
      </c>
      <c r="G56" s="253">
        <v>5.4751166880526174</v>
      </c>
      <c r="H56" s="253">
        <v>102.23689713861584</v>
      </c>
      <c r="I56" s="253">
        <v>9.0999999999999998E-2</v>
      </c>
      <c r="J56" s="253">
        <v>4.7268617174880001</v>
      </c>
      <c r="K56" s="253">
        <v>1236.1218153254795</v>
      </c>
      <c r="L56" s="253">
        <f t="shared" si="4"/>
        <v>1478.9416180027777</v>
      </c>
      <c r="M56" s="253">
        <v>180.94450100373635</v>
      </c>
      <c r="N56" s="253">
        <v>945.10226208612062</v>
      </c>
      <c r="O56" s="253">
        <v>352.89485491292072</v>
      </c>
      <c r="P56" s="253">
        <f t="shared" si="10"/>
        <v>2640.20677400158</v>
      </c>
      <c r="Q56" s="253">
        <v>30.860792287151529</v>
      </c>
      <c r="R56" s="253">
        <v>8.4074990000051905E-2</v>
      </c>
      <c r="S56" s="253">
        <v>813.96888075353479</v>
      </c>
      <c r="T56" s="253">
        <v>152.4195087177475</v>
      </c>
      <c r="U56" s="253">
        <v>53.684661048727719</v>
      </c>
      <c r="V56" s="253">
        <v>364.40754540038824</v>
      </c>
      <c r="W56" s="253">
        <v>735.38308088671533</v>
      </c>
      <c r="X56" s="253">
        <v>429.02906849371794</v>
      </c>
      <c r="Y56" s="253">
        <v>34.439948961825003</v>
      </c>
      <c r="Z56" s="253">
        <v>25.929212461772003</v>
      </c>
      <c r="AA56" s="253">
        <v>851.79801180687002</v>
      </c>
      <c r="AB56" s="236"/>
      <c r="AC56" s="236"/>
      <c r="AD56" s="236"/>
      <c r="AE56" s="236"/>
      <c r="AF56" s="236"/>
      <c r="AG56" s="236"/>
      <c r="AH56" s="236"/>
      <c r="AI56" s="236"/>
      <c r="AJ56" s="236"/>
      <c r="AK56" s="236"/>
      <c r="AL56" s="236"/>
    </row>
    <row r="57" spans="1:38" s="121" customFormat="1" ht="15.75" customHeight="1">
      <c r="A57" s="97"/>
      <c r="B57" s="108" t="s">
        <v>232</v>
      </c>
      <c r="C57" s="247">
        <f t="shared" ref="C57" si="15">F57+L57+P57+AA57</f>
        <v>6641.5259967641468</v>
      </c>
      <c r="D57" s="237">
        <f t="shared" ref="D57" si="16">E57+P57</f>
        <v>5653.0180271540175</v>
      </c>
      <c r="E57" s="237">
        <f t="shared" ref="E57" si="17">F57+L57</f>
        <v>2846.466485085889</v>
      </c>
      <c r="F57" s="237">
        <f t="shared" ref="F57" si="18">G57+H57+I57+J57+K57</f>
        <v>1359.2667696317435</v>
      </c>
      <c r="G57" s="237">
        <v>6.5622749367784383</v>
      </c>
      <c r="H57" s="237">
        <v>104.98685442383689</v>
      </c>
      <c r="I57" s="237">
        <v>0.10299999999999999</v>
      </c>
      <c r="J57" s="237">
        <v>3.8441929179319998</v>
      </c>
      <c r="K57" s="237">
        <v>1243.7704473531962</v>
      </c>
      <c r="L57" s="237">
        <f t="shared" si="4"/>
        <v>1487.1997154541455</v>
      </c>
      <c r="M57" s="237">
        <v>178.47861666137069</v>
      </c>
      <c r="N57" s="237">
        <v>964.40311451002628</v>
      </c>
      <c r="O57" s="237">
        <v>344.31798428274857</v>
      </c>
      <c r="P57" s="237">
        <f t="shared" si="10"/>
        <v>2806.551542068129</v>
      </c>
      <c r="Q57" s="237">
        <v>32.197711239203471</v>
      </c>
      <c r="R57" s="237">
        <v>0.1441701700000558</v>
      </c>
      <c r="S57" s="237">
        <v>961.07014868993588</v>
      </c>
      <c r="T57" s="237">
        <v>132.97122621057795</v>
      </c>
      <c r="U57" s="237">
        <v>58.314772814753248</v>
      </c>
      <c r="V57" s="237">
        <v>363.54579030204951</v>
      </c>
      <c r="W57" s="237">
        <v>754.74718449847376</v>
      </c>
      <c r="X57" s="237">
        <v>439.85354593078</v>
      </c>
      <c r="Y57" s="237">
        <v>34.401922308882</v>
      </c>
      <c r="Z57" s="237">
        <v>29.305069903472997</v>
      </c>
      <c r="AA57" s="237">
        <v>988.50796961012918</v>
      </c>
      <c r="AB57" s="236"/>
      <c r="AC57" s="236"/>
      <c r="AD57" s="236"/>
      <c r="AE57" s="236"/>
      <c r="AF57" s="236"/>
      <c r="AG57" s="236"/>
      <c r="AH57" s="236"/>
      <c r="AI57" s="236"/>
      <c r="AJ57" s="236"/>
      <c r="AK57" s="236"/>
      <c r="AL57" s="236"/>
    </row>
    <row r="58" spans="1:38" s="121" customFormat="1" ht="15.75" customHeight="1">
      <c r="A58" s="97"/>
      <c r="B58" s="108" t="s">
        <v>233</v>
      </c>
      <c r="C58" s="247">
        <f t="shared" ref="C58" si="19">F58+L58+P58+AA58</f>
        <v>6862.4961483217185</v>
      </c>
      <c r="D58" s="237">
        <f t="shared" ref="D58" si="20">E58+P58</f>
        <v>5841.775559316724</v>
      </c>
      <c r="E58" s="237">
        <f t="shared" ref="E58" si="21">F58+L58</f>
        <v>2895.7521004112086</v>
      </c>
      <c r="F58" s="237">
        <f t="shared" ref="F58" si="22">G58+H58+I58+J58+K58</f>
        <v>1389.7120753562981</v>
      </c>
      <c r="G58" s="237">
        <v>7.240453239545924</v>
      </c>
      <c r="H58" s="237">
        <v>105.60838510146353</v>
      </c>
      <c r="I58" s="237">
        <v>8.5999999999999993E-2</v>
      </c>
      <c r="J58" s="237">
        <v>3.3395358495449994</v>
      </c>
      <c r="K58" s="237">
        <v>1273.4377011657436</v>
      </c>
      <c r="L58" s="237">
        <f t="shared" si="4"/>
        <v>1506.0400250549103</v>
      </c>
      <c r="M58" s="237">
        <v>177.99087586407069</v>
      </c>
      <c r="N58" s="237">
        <v>991.53753377651378</v>
      </c>
      <c r="O58" s="237">
        <v>336.51161541432583</v>
      </c>
      <c r="P58" s="237">
        <f t="shared" si="10"/>
        <v>2946.0234589055149</v>
      </c>
      <c r="Q58" s="237">
        <v>29.722208285338954</v>
      </c>
      <c r="R58" s="237">
        <v>0.12199300999997649</v>
      </c>
      <c r="S58" s="237">
        <v>1044.4657292480281</v>
      </c>
      <c r="T58" s="237">
        <v>93.642905653288494</v>
      </c>
      <c r="U58" s="237">
        <v>57.690297971576129</v>
      </c>
      <c r="V58" s="237">
        <v>350.25594713662434</v>
      </c>
      <c r="W58" s="237">
        <v>875.72088042199391</v>
      </c>
      <c r="X58" s="237">
        <v>430.80001834977486</v>
      </c>
      <c r="Y58" s="237">
        <v>33.253929104946003</v>
      </c>
      <c r="Z58" s="237">
        <v>30.349549723944008</v>
      </c>
      <c r="AA58" s="237">
        <v>1020.7205890049942</v>
      </c>
      <c r="AB58" s="236"/>
      <c r="AC58" s="236"/>
      <c r="AD58" s="236"/>
      <c r="AE58" s="236"/>
      <c r="AF58" s="236"/>
      <c r="AG58" s="236"/>
      <c r="AH58" s="236"/>
      <c r="AI58" s="236"/>
      <c r="AJ58" s="236"/>
      <c r="AK58" s="236"/>
      <c r="AL58" s="236"/>
    </row>
    <row r="59" spans="1:38" s="121" customFormat="1" ht="15.75" customHeight="1">
      <c r="A59" s="100"/>
      <c r="B59" s="110" t="s">
        <v>234</v>
      </c>
      <c r="C59" s="246">
        <f t="shared" ref="C59" si="23">F59+L59+P59+AA59</f>
        <v>7102.6909397501222</v>
      </c>
      <c r="D59" s="242">
        <f t="shared" ref="D59" si="24">E59+P59</f>
        <v>5795.804209807533</v>
      </c>
      <c r="E59" s="242">
        <f t="shared" ref="E59" si="25">F59+L59</f>
        <v>2927.067387817347</v>
      </c>
      <c r="F59" s="242">
        <f t="shared" ref="F59" si="26">G59+H59+I59+J59+K59</f>
        <v>1405.7025729963434</v>
      </c>
      <c r="G59" s="242">
        <v>8.4327734127473146</v>
      </c>
      <c r="H59" s="242">
        <v>113.64336723606543</v>
      </c>
      <c r="I59" s="242">
        <v>6.7000000000000004E-2</v>
      </c>
      <c r="J59" s="242">
        <v>3.1313685286730002</v>
      </c>
      <c r="K59" s="242">
        <v>1280.4280638188577</v>
      </c>
      <c r="L59" s="242">
        <f t="shared" si="4"/>
        <v>1521.3648148210036</v>
      </c>
      <c r="M59" s="242">
        <v>178.44484450691905</v>
      </c>
      <c r="N59" s="242">
        <v>1012.7517684612189</v>
      </c>
      <c r="O59" s="242">
        <v>330.16820185286565</v>
      </c>
      <c r="P59" s="242">
        <f t="shared" si="10"/>
        <v>2868.7368219901859</v>
      </c>
      <c r="Q59" s="242">
        <v>26.976074084557833</v>
      </c>
      <c r="R59" s="242">
        <v>0.12037664000003133</v>
      </c>
      <c r="S59" s="242">
        <v>964.92148444247846</v>
      </c>
      <c r="T59" s="242">
        <v>71.881615069305994</v>
      </c>
      <c r="U59" s="242">
        <v>57.047938489281165</v>
      </c>
      <c r="V59" s="242">
        <v>355.49911655623379</v>
      </c>
      <c r="W59" s="242">
        <v>898.1751561821377</v>
      </c>
      <c r="X59" s="242">
        <v>426.90100407694092</v>
      </c>
      <c r="Y59" s="242">
        <v>32.278735838312997</v>
      </c>
      <c r="Z59" s="242">
        <v>34.935320610936998</v>
      </c>
      <c r="AA59" s="242">
        <v>1306.8867299425895</v>
      </c>
      <c r="AB59" s="236"/>
      <c r="AC59" s="236"/>
      <c r="AD59" s="236"/>
      <c r="AE59" s="236"/>
      <c r="AF59" s="236"/>
      <c r="AG59" s="236"/>
      <c r="AH59" s="236"/>
      <c r="AI59" s="236"/>
      <c r="AJ59" s="236"/>
      <c r="AK59" s="236"/>
      <c r="AL59" s="236"/>
    </row>
    <row r="60" spans="1:38" s="121" customFormat="1" ht="15.75" customHeight="1">
      <c r="A60" s="135">
        <v>2024</v>
      </c>
      <c r="B60" s="106" t="s">
        <v>231</v>
      </c>
      <c r="C60" s="256">
        <f t="shared" ref="C60" si="27">F60+L60+P60+AA60</f>
        <v>7202.1970430483834</v>
      </c>
      <c r="D60" s="253">
        <f t="shared" ref="D60" si="28">E60+P60</f>
        <v>5686.3290214918998</v>
      </c>
      <c r="E60" s="253">
        <f t="shared" ref="E60" si="29">F60+L60</f>
        <v>2924.8986296081989</v>
      </c>
      <c r="F60" s="253">
        <f t="shared" ref="F60" si="30">G60+H60+I60+J60+K60</f>
        <v>1394.084166410456</v>
      </c>
      <c r="G60" s="253">
        <v>9.0671971320672906</v>
      </c>
      <c r="H60" s="253">
        <v>106.69385585191259</v>
      </c>
      <c r="I60" s="253">
        <v>7.0999999999999994E-2</v>
      </c>
      <c r="J60" s="253">
        <v>2.9543371212839995</v>
      </c>
      <c r="K60" s="253">
        <v>1275.297776305192</v>
      </c>
      <c r="L60" s="253">
        <f t="shared" si="4"/>
        <v>1530.814463197743</v>
      </c>
      <c r="M60" s="253">
        <v>178.575060706496</v>
      </c>
      <c r="N60" s="253">
        <v>1027.7628411705532</v>
      </c>
      <c r="O60" s="253">
        <v>324.4765613206938</v>
      </c>
      <c r="P60" s="253">
        <f t="shared" si="10"/>
        <v>2761.4303918837008</v>
      </c>
      <c r="Q60" s="253">
        <v>27.837180004305285</v>
      </c>
      <c r="R60" s="253">
        <v>0.17649676999991062</v>
      </c>
      <c r="S60" s="253">
        <v>893.91971462056915</v>
      </c>
      <c r="T60" s="253">
        <v>50.552167015764006</v>
      </c>
      <c r="U60" s="253">
        <v>57.475357032602361</v>
      </c>
      <c r="V60" s="253">
        <v>351.52066504658882</v>
      </c>
      <c r="W60" s="253">
        <v>906.20955127729712</v>
      </c>
      <c r="X60" s="253">
        <v>410.71403825076567</v>
      </c>
      <c r="Y60" s="253">
        <v>31.334901627100997</v>
      </c>
      <c r="Z60" s="253">
        <v>31.690320238708001</v>
      </c>
      <c r="AA60" s="253">
        <v>1515.8680215564832</v>
      </c>
      <c r="AB60" s="236"/>
      <c r="AC60" s="236"/>
      <c r="AD60" s="236"/>
      <c r="AE60" s="236"/>
      <c r="AF60" s="236"/>
      <c r="AG60" s="236"/>
      <c r="AH60" s="236"/>
      <c r="AI60" s="236"/>
      <c r="AJ60" s="236"/>
      <c r="AK60" s="236"/>
      <c r="AL60" s="236"/>
    </row>
    <row r="61" spans="1:38" s="121" customFormat="1" ht="15.75" customHeight="1">
      <c r="A61" s="97"/>
      <c r="B61" s="108" t="s">
        <v>232</v>
      </c>
      <c r="C61" s="247">
        <f t="shared" ref="C61" si="31">F61+L61+P61+AA61</f>
        <v>7454.1057454401907</v>
      </c>
      <c r="D61" s="237">
        <f t="shared" ref="D61" si="32">E61+P61</f>
        <v>5892.9906330610629</v>
      </c>
      <c r="E61" s="237">
        <f t="shared" ref="E61" si="33">F61+L61</f>
        <v>2970.575129387254</v>
      </c>
      <c r="F61" s="237">
        <f t="shared" ref="F61" si="34">G61+H61+I61+J61+K61</f>
        <v>1424.9026307694508</v>
      </c>
      <c r="G61" s="237">
        <v>9.6378592176914974</v>
      </c>
      <c r="H61" s="237">
        <v>110.690154533002</v>
      </c>
      <c r="I61" s="237">
        <v>7.2999999999999995E-2</v>
      </c>
      <c r="J61" s="237">
        <v>2.7252446462829996</v>
      </c>
      <c r="K61" s="237">
        <v>1301.7763723724743</v>
      </c>
      <c r="L61" s="237">
        <f t="shared" si="4"/>
        <v>1545.6724986178033</v>
      </c>
      <c r="M61" s="237">
        <v>177.54826500228501</v>
      </c>
      <c r="N61" s="237">
        <v>1047.7437976347314</v>
      </c>
      <c r="O61" s="237">
        <v>320.38043598078679</v>
      </c>
      <c r="P61" s="237">
        <f t="shared" si="10"/>
        <v>2922.4155036738084</v>
      </c>
      <c r="Q61" s="237">
        <v>26.633496300344138</v>
      </c>
      <c r="R61" s="237">
        <v>0.16699071999994339</v>
      </c>
      <c r="S61" s="237">
        <v>976.55294927660611</v>
      </c>
      <c r="T61" s="237">
        <v>29.458278746497999</v>
      </c>
      <c r="U61" s="237">
        <v>82.452667923413443</v>
      </c>
      <c r="V61" s="237">
        <v>343.79309688267023</v>
      </c>
      <c r="W61" s="237">
        <v>971.10817564926242</v>
      </c>
      <c r="X61" s="237">
        <v>426.05195108068023</v>
      </c>
      <c r="Y61" s="237">
        <v>29.752623910899999</v>
      </c>
      <c r="Z61" s="237">
        <v>36.445273183433997</v>
      </c>
      <c r="AA61" s="237">
        <v>1561.115112379128</v>
      </c>
      <c r="AB61" s="236"/>
      <c r="AC61" s="236"/>
      <c r="AD61" s="236"/>
      <c r="AE61" s="236"/>
      <c r="AF61" s="236"/>
      <c r="AG61" s="236"/>
      <c r="AH61" s="236"/>
      <c r="AI61" s="236"/>
      <c r="AJ61" s="236"/>
      <c r="AK61" s="236"/>
      <c r="AL61" s="236"/>
    </row>
    <row r="62" spans="1:38" s="121" customFormat="1" ht="15.75" customHeight="1">
      <c r="A62" s="97"/>
      <c r="B62" s="108" t="s">
        <v>233</v>
      </c>
      <c r="C62" s="247">
        <f t="shared" ref="C62" si="35">F62+L62+P62+AA62</f>
        <v>7443.3498710150407</v>
      </c>
      <c r="D62" s="237">
        <f t="shared" ref="D62" si="36">E62+P62</f>
        <v>5814.8588616744855</v>
      </c>
      <c r="E62" s="237">
        <f t="shared" ref="E62" si="37">F62+L62</f>
        <v>3010.8329087055454</v>
      </c>
      <c r="F62" s="237">
        <f t="shared" ref="F62" si="38">G62+H62+I62+J62+K62</f>
        <v>1444.2759081012641</v>
      </c>
      <c r="G62" s="237">
        <v>10.248892751958964</v>
      </c>
      <c r="H62" s="237">
        <v>114.94410664622156</v>
      </c>
      <c r="I62" s="237">
        <v>7.9000000000000001E-2</v>
      </c>
      <c r="J62" s="237">
        <v>2.5108886100000003</v>
      </c>
      <c r="K62" s="237">
        <v>1316.4930200930837</v>
      </c>
      <c r="L62" s="237">
        <f t="shared" si="4"/>
        <v>1566.5570006042813</v>
      </c>
      <c r="M62" s="237">
        <v>173.34181216586072</v>
      </c>
      <c r="N62" s="237">
        <v>1075.787999047936</v>
      </c>
      <c r="O62" s="237">
        <v>317.42718939048439</v>
      </c>
      <c r="P62" s="237">
        <f t="shared" si="10"/>
        <v>2804.0259529689397</v>
      </c>
      <c r="Q62" s="237">
        <v>29.203055767703656</v>
      </c>
      <c r="R62" s="237">
        <v>0.15282387000002201</v>
      </c>
      <c r="S62" s="237">
        <v>893.07526016295753</v>
      </c>
      <c r="T62" s="237">
        <v>12.343320852029999</v>
      </c>
      <c r="U62" s="237">
        <v>76.947214253477924</v>
      </c>
      <c r="V62" s="237">
        <v>312.72054486659903</v>
      </c>
      <c r="W62" s="237">
        <v>946.32976785425171</v>
      </c>
      <c r="X62" s="237">
        <v>444.00087199223253</v>
      </c>
      <c r="Y62" s="237">
        <v>29.943217161406</v>
      </c>
      <c r="Z62" s="237">
        <v>59.309876188281009</v>
      </c>
      <c r="AA62" s="237">
        <v>1628.4910093405554</v>
      </c>
      <c r="AB62" s="236"/>
      <c r="AC62" s="236"/>
      <c r="AD62" s="236"/>
      <c r="AE62" s="236"/>
      <c r="AF62" s="236"/>
      <c r="AG62" s="236"/>
      <c r="AH62" s="236"/>
      <c r="AI62" s="236"/>
      <c r="AJ62" s="236"/>
      <c r="AK62" s="236"/>
      <c r="AL62" s="236"/>
    </row>
    <row r="63" spans="1:38" s="121" customFormat="1" ht="15.75" customHeight="1">
      <c r="A63" s="100"/>
      <c r="B63" s="110" t="s">
        <v>234</v>
      </c>
      <c r="C63" s="246">
        <f t="shared" ref="C63" si="39">F63+L63+P63+AA63</f>
        <v>7661.4195718425872</v>
      </c>
      <c r="D63" s="242">
        <f t="shared" ref="D63" si="40">E63+P63</f>
        <v>5834.6753825642763</v>
      </c>
      <c r="E63" s="242">
        <f t="shared" ref="E63" si="41">F63+L63</f>
        <v>3027.1553505600023</v>
      </c>
      <c r="F63" s="242">
        <f t="shared" ref="F63" si="42">G63+H63+I63+J63+K63</f>
        <v>1443.5383004014252</v>
      </c>
      <c r="G63" s="242">
        <v>11.574872024831617</v>
      </c>
      <c r="H63" s="242">
        <v>122.5996822903066</v>
      </c>
      <c r="I63" s="242">
        <v>9.8000000000000004E-2</v>
      </c>
      <c r="J63" s="242">
        <v>2.2297015600000001</v>
      </c>
      <c r="K63" s="242">
        <v>1307.036044526287</v>
      </c>
      <c r="L63" s="242">
        <f t="shared" si="4"/>
        <v>1583.6170501585773</v>
      </c>
      <c r="M63" s="242">
        <v>174.31539164819938</v>
      </c>
      <c r="N63" s="242">
        <v>1094.656904095981</v>
      </c>
      <c r="O63" s="242">
        <v>314.6447544143968</v>
      </c>
      <c r="P63" s="242">
        <f t="shared" si="10"/>
        <v>2807.5200320042741</v>
      </c>
      <c r="Q63" s="242">
        <v>28.602698738350249</v>
      </c>
      <c r="R63" s="242">
        <v>0.23972821000008843</v>
      </c>
      <c r="S63" s="242">
        <v>902.9736344291324</v>
      </c>
      <c r="T63" s="242">
        <v>11.004766437224999</v>
      </c>
      <c r="U63" s="242">
        <v>70.954624133574001</v>
      </c>
      <c r="V63" s="242">
        <v>330.43911267943179</v>
      </c>
      <c r="W63" s="242">
        <v>932.56038472592229</v>
      </c>
      <c r="X63" s="242">
        <v>435.64526059981142</v>
      </c>
      <c r="Y63" s="242">
        <v>33.387087704793998</v>
      </c>
      <c r="Z63" s="242">
        <v>61.712734346033002</v>
      </c>
      <c r="AA63" s="242">
        <v>1826.7441892783111</v>
      </c>
      <c r="AB63" s="236"/>
      <c r="AC63" s="236"/>
      <c r="AD63" s="236"/>
      <c r="AE63" s="236"/>
      <c r="AF63" s="236"/>
      <c r="AG63" s="236"/>
      <c r="AH63" s="236"/>
      <c r="AI63" s="236"/>
      <c r="AJ63" s="236"/>
      <c r="AK63" s="236"/>
      <c r="AL63" s="236"/>
    </row>
    <row r="64" spans="1:38" s="121" customFormat="1" ht="15.75" customHeight="1">
      <c r="A64" s="135">
        <v>2025</v>
      </c>
      <c r="B64" s="106" t="s">
        <v>231</v>
      </c>
      <c r="C64" s="256">
        <f t="shared" ref="C64" si="43">F64+L64+P64+AA64</f>
        <v>7823.4665646421799</v>
      </c>
      <c r="D64" s="253">
        <f t="shared" ref="D64" si="44">E64+P64</f>
        <v>5846.0585052307215</v>
      </c>
      <c r="E64" s="253">
        <f t="shared" ref="E64" si="45">F64+L64</f>
        <v>2999.5304966390431</v>
      </c>
      <c r="F64" s="253">
        <f t="shared" ref="F64" si="46">G64+H64+I64+J64+K64</f>
        <v>1401.7019580204319</v>
      </c>
      <c r="G64" s="253">
        <v>12.327169422458246</v>
      </c>
      <c r="H64" s="253">
        <v>116.22466860604932</v>
      </c>
      <c r="I64" s="253">
        <v>0.10299999999999999</v>
      </c>
      <c r="J64" s="253">
        <v>2.0978331900000002</v>
      </c>
      <c r="K64" s="253">
        <v>1270.9492868019242</v>
      </c>
      <c r="L64" s="253">
        <f t="shared" si="4"/>
        <v>1597.8285386186112</v>
      </c>
      <c r="M64" s="253">
        <v>175.44769190278302</v>
      </c>
      <c r="N64" s="253">
        <v>1111.4269570636916</v>
      </c>
      <c r="O64" s="253">
        <v>310.95388965213658</v>
      </c>
      <c r="P64" s="253">
        <f t="shared" si="10"/>
        <v>2846.5280085916779</v>
      </c>
      <c r="Q64" s="253">
        <v>29.366804107358142</v>
      </c>
      <c r="R64" s="253">
        <v>0.26896088999987117</v>
      </c>
      <c r="S64" s="253">
        <v>964.81546342822094</v>
      </c>
      <c r="T64" s="253">
        <v>11.139103269818001</v>
      </c>
      <c r="U64" s="253">
        <v>73.418044269867679</v>
      </c>
      <c r="V64" s="253">
        <v>342.78823099379701</v>
      </c>
      <c r="W64" s="253">
        <v>901.59309900285814</v>
      </c>
      <c r="X64" s="253">
        <v>429.05041819039718</v>
      </c>
      <c r="Y64" s="253">
        <v>33.102559869616002</v>
      </c>
      <c r="Z64" s="253">
        <v>60.985324569744989</v>
      </c>
      <c r="AA64" s="253">
        <v>1977.4080594114589</v>
      </c>
      <c r="AB64" s="236"/>
      <c r="AC64" s="236"/>
      <c r="AD64" s="236"/>
      <c r="AE64" s="236"/>
      <c r="AF64" s="236"/>
      <c r="AG64" s="236"/>
      <c r="AH64" s="236"/>
      <c r="AI64" s="236"/>
      <c r="AJ64" s="236"/>
      <c r="AK64" s="236"/>
      <c r="AL64" s="236"/>
    </row>
    <row r="65" spans="1:38" s="121" customFormat="1" ht="15.75" customHeight="1">
      <c r="A65" s="100"/>
      <c r="B65" s="110" t="s">
        <v>232</v>
      </c>
      <c r="C65" s="246">
        <f t="shared" ref="C65" si="47">F65+L65+P65+AA65</f>
        <v>8082.6254496920646</v>
      </c>
      <c r="D65" s="242">
        <f t="shared" ref="D65" si="48">E65+P65</f>
        <v>5737.9435038515749</v>
      </c>
      <c r="E65" s="242">
        <f t="shared" ref="E65" si="49">F65+L65</f>
        <v>3022.0583633230681</v>
      </c>
      <c r="F65" s="242">
        <f t="shared" ref="F65" si="50">G65+H65+I65+J65+K65</f>
        <v>1415.7796846684048</v>
      </c>
      <c r="G65" s="242">
        <v>12.990304935262227</v>
      </c>
      <c r="H65" s="242">
        <v>119.87923414369088</v>
      </c>
      <c r="I65" s="242">
        <v>0.106</v>
      </c>
      <c r="J65" s="242">
        <v>2.3345497399999999</v>
      </c>
      <c r="K65" s="242">
        <v>1280.4695958494517</v>
      </c>
      <c r="L65" s="242">
        <f>M65+N65+O65</f>
        <v>1606.2786786546631</v>
      </c>
      <c r="M65" s="242">
        <v>173.75423155034639</v>
      </c>
      <c r="N65" s="242">
        <v>1124.3136625410159</v>
      </c>
      <c r="O65" s="242">
        <v>308.21078456330099</v>
      </c>
      <c r="P65" s="242">
        <f>Q65+R65+S65+T65+U65+V65+W65+X65+Y65+Z65</f>
        <v>2715.8851405285068</v>
      </c>
      <c r="Q65" s="242">
        <v>31.446686139571639</v>
      </c>
      <c r="R65" s="242">
        <v>0.2890535999999847</v>
      </c>
      <c r="S65" s="242">
        <v>831.74484783179969</v>
      </c>
      <c r="T65" s="242">
        <v>41.198538691938005</v>
      </c>
      <c r="U65" s="242">
        <v>83.677702610303001</v>
      </c>
      <c r="V65" s="242">
        <v>334.69799104910049</v>
      </c>
      <c r="W65" s="242">
        <v>850.84824141245122</v>
      </c>
      <c r="X65" s="242">
        <v>427.0560068380197</v>
      </c>
      <c r="Y65" s="242">
        <v>33.284556503569995</v>
      </c>
      <c r="Z65" s="242">
        <v>81.641515851752999</v>
      </c>
      <c r="AA65" s="242">
        <v>2344.6819458404893</v>
      </c>
      <c r="AB65" s="236"/>
      <c r="AC65" s="236"/>
      <c r="AD65" s="236"/>
      <c r="AE65" s="236"/>
      <c r="AF65" s="236"/>
      <c r="AG65" s="236"/>
      <c r="AH65" s="236"/>
      <c r="AI65" s="236"/>
      <c r="AJ65" s="236"/>
      <c r="AK65" s="236"/>
      <c r="AL65" s="236"/>
    </row>
    <row r="66" spans="1:38">
      <c r="E66" s="74"/>
      <c r="F66" s="74"/>
      <c r="G66" s="74"/>
      <c r="H66" s="74"/>
      <c r="I66" s="74"/>
      <c r="J66" s="74"/>
      <c r="K66" s="74"/>
      <c r="L66" s="74"/>
      <c r="M66" s="74"/>
      <c r="N66" s="74"/>
      <c r="O66" s="74"/>
      <c r="P66" s="74"/>
      <c r="Q66" s="74"/>
      <c r="R66" s="74"/>
      <c r="S66" s="74"/>
      <c r="T66" s="74"/>
      <c r="U66" s="74"/>
      <c r="V66" s="74"/>
      <c r="W66" s="74"/>
      <c r="X66" s="74"/>
      <c r="Y66" s="74"/>
      <c r="Z66" s="74"/>
      <c r="AA66" s="74"/>
    </row>
    <row r="67" spans="1:38">
      <c r="A67" s="491" t="s">
        <v>195</v>
      </c>
    </row>
    <row r="68" spans="1:38">
      <c r="C68" s="73"/>
      <c r="D68" s="73"/>
      <c r="E68" s="73"/>
      <c r="F68" s="73"/>
      <c r="G68" s="73"/>
      <c r="H68" s="73"/>
      <c r="I68" s="73"/>
      <c r="J68" s="73"/>
      <c r="K68" s="73"/>
      <c r="L68" s="73"/>
      <c r="M68" s="73"/>
      <c r="N68" s="73"/>
      <c r="O68" s="73"/>
      <c r="P68" s="73"/>
      <c r="Q68" s="73"/>
      <c r="R68" s="73"/>
      <c r="S68" s="73"/>
      <c r="T68" s="73"/>
      <c r="U68" s="73"/>
      <c r="V68" s="73"/>
      <c r="W68" s="73"/>
      <c r="X68" s="73"/>
      <c r="Y68" s="73"/>
      <c r="Z68" s="73"/>
      <c r="AA68" s="508"/>
    </row>
    <row r="69" spans="1:38">
      <c r="A69" s="475" t="s">
        <v>119</v>
      </c>
      <c r="C69" s="78"/>
      <c r="D69" s="78"/>
      <c r="E69" s="78"/>
      <c r="F69" s="507"/>
      <c r="G69" s="78"/>
      <c r="H69" s="78"/>
      <c r="I69" s="78"/>
      <c r="J69" s="78"/>
      <c r="K69" s="78"/>
      <c r="L69" s="78"/>
      <c r="M69" s="78"/>
      <c r="N69" s="78"/>
      <c r="O69" s="78"/>
      <c r="P69" s="78"/>
      <c r="Q69" s="78"/>
      <c r="R69" s="78"/>
      <c r="S69" s="78"/>
      <c r="T69" s="78"/>
      <c r="U69" s="78"/>
      <c r="V69" s="78"/>
      <c r="W69" s="78"/>
      <c r="X69" s="78"/>
      <c r="Y69" s="78"/>
      <c r="Z69" s="78"/>
      <c r="AA69" s="78"/>
    </row>
    <row r="70" spans="1:38">
      <c r="A70" s="475" t="s">
        <v>120</v>
      </c>
    </row>
    <row r="72" spans="1:38">
      <c r="C72" s="82"/>
      <c r="D72" s="82"/>
      <c r="E72" s="82"/>
      <c r="F72" s="82"/>
      <c r="G72" s="82"/>
      <c r="H72" s="82"/>
      <c r="I72" s="82"/>
      <c r="J72" s="82"/>
      <c r="K72" s="82"/>
      <c r="L72" s="82"/>
      <c r="M72" s="82"/>
      <c r="N72" s="82"/>
      <c r="O72" s="82"/>
      <c r="P72" s="82"/>
      <c r="Q72" s="82"/>
      <c r="R72" s="82"/>
      <c r="S72" s="82"/>
      <c r="T72" s="82"/>
      <c r="U72" s="82"/>
      <c r="V72" s="82"/>
      <c r="W72" s="82"/>
      <c r="X72" s="82"/>
      <c r="Y72" s="82"/>
      <c r="Z72" s="82"/>
      <c r="AA72" s="82"/>
    </row>
    <row r="73" spans="1:38">
      <c r="I73" s="491"/>
    </row>
    <row r="74" spans="1:38">
      <c r="I74" s="475"/>
    </row>
    <row r="75" spans="1:38">
      <c r="I75" s="475"/>
    </row>
    <row r="76" spans="1:38">
      <c r="I76" s="475"/>
    </row>
  </sheetData>
  <sheetProtection formatCells="0" insertColumns="0" insertRows="0" deleteColumns="0" deleteRows="0"/>
  <mergeCells count="24">
    <mergeCell ref="A1:P1"/>
    <mergeCell ref="Y6:Y7"/>
    <mergeCell ref="E6:E7"/>
    <mergeCell ref="C4:C7"/>
    <mergeCell ref="U6:U7"/>
    <mergeCell ref="V6:V7"/>
    <mergeCell ref="W6:W7"/>
    <mergeCell ref="X6:X7"/>
    <mergeCell ref="A2:AA2"/>
    <mergeCell ref="L6:O6"/>
    <mergeCell ref="F6:K6"/>
    <mergeCell ref="E5:O5"/>
    <mergeCell ref="P5:Z5"/>
    <mergeCell ref="P6:P7"/>
    <mergeCell ref="Q6:Q7"/>
    <mergeCell ref="R6:R7"/>
    <mergeCell ref="AA4:AA7"/>
    <mergeCell ref="C3:AA3"/>
    <mergeCell ref="S6:S7"/>
    <mergeCell ref="T6:T7"/>
    <mergeCell ref="A3:B7"/>
    <mergeCell ref="Z6:Z7"/>
    <mergeCell ref="D4:Z4"/>
    <mergeCell ref="D5:D7"/>
  </mergeCells>
  <pageMargins left="0.2" right="0.2"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2"/>
  <sheetViews>
    <sheetView zoomScaleNormal="100" workbookViewId="0">
      <pane ySplit="4" topLeftCell="A54" activePane="bottomLeft" state="frozen"/>
      <selection activeCell="G153" sqref="G153"/>
      <selection pane="bottomLeft" sqref="A1:G1"/>
    </sheetView>
  </sheetViews>
  <sheetFormatPr defaultColWidth="9.1796875" defaultRowHeight="13"/>
  <cols>
    <col min="1" max="2" width="6.81640625" style="65" customWidth="1"/>
    <col min="3" max="7" width="25.81640625" style="65" customWidth="1"/>
    <col min="8" max="16384" width="9.1796875" style="65"/>
  </cols>
  <sheetData>
    <row r="1" spans="1:11">
      <c r="A1" s="716" t="s">
        <v>235</v>
      </c>
      <c r="B1" s="716"/>
      <c r="C1" s="716"/>
      <c r="D1" s="716"/>
      <c r="E1" s="716"/>
      <c r="F1" s="716"/>
      <c r="G1" s="716"/>
    </row>
    <row r="2" spans="1:11">
      <c r="A2" s="763" t="s">
        <v>97</v>
      </c>
      <c r="B2" s="763"/>
      <c r="C2" s="763"/>
      <c r="D2" s="763"/>
      <c r="E2" s="763"/>
      <c r="F2" s="763"/>
      <c r="G2" s="83"/>
    </row>
    <row r="3" spans="1:11" ht="15" customHeight="1">
      <c r="A3" s="756" t="s">
        <v>98</v>
      </c>
      <c r="B3" s="757"/>
      <c r="C3" s="771" t="s">
        <v>236</v>
      </c>
      <c r="D3" s="771"/>
      <c r="E3" s="771"/>
      <c r="F3" s="772"/>
      <c r="G3" s="775" t="s">
        <v>237</v>
      </c>
    </row>
    <row r="4" spans="1:11" ht="14.5">
      <c r="A4" s="758"/>
      <c r="B4" s="759"/>
      <c r="C4" s="518" t="s">
        <v>102</v>
      </c>
      <c r="D4" s="517" t="s">
        <v>238</v>
      </c>
      <c r="E4" s="517" t="s">
        <v>239</v>
      </c>
      <c r="F4" s="517" t="s">
        <v>240</v>
      </c>
      <c r="G4" s="773"/>
    </row>
    <row r="5" spans="1:11" ht="14.5">
      <c r="A5" s="471">
        <v>2011</v>
      </c>
      <c r="B5" s="454" t="s">
        <v>231</v>
      </c>
      <c r="C5" s="263">
        <f>D5+E5+F5</f>
        <v>705.72</v>
      </c>
      <c r="D5" s="262">
        <v>311.87</v>
      </c>
      <c r="E5" s="263">
        <v>37.86</v>
      </c>
      <c r="F5" s="264">
        <v>355.99</v>
      </c>
      <c r="G5" s="265">
        <v>13.77</v>
      </c>
      <c r="H5" s="74"/>
      <c r="I5" s="74"/>
      <c r="J5" s="74"/>
      <c r="K5" s="74"/>
    </row>
    <row r="6" spans="1:11" ht="14.5">
      <c r="A6" s="472"/>
      <c r="B6" s="455" t="s">
        <v>232</v>
      </c>
      <c r="C6" s="266">
        <f>D6+E6+F6</f>
        <v>453.18</v>
      </c>
      <c r="D6" s="267">
        <v>57.38</v>
      </c>
      <c r="E6" s="266">
        <v>32.82</v>
      </c>
      <c r="F6" s="268">
        <v>362.98</v>
      </c>
      <c r="G6" s="269">
        <v>9.61</v>
      </c>
      <c r="H6" s="74"/>
      <c r="I6" s="74"/>
      <c r="J6" s="74"/>
      <c r="K6" s="74"/>
    </row>
    <row r="7" spans="1:11" ht="14.5">
      <c r="A7" s="472"/>
      <c r="B7" s="455" t="s">
        <v>233</v>
      </c>
      <c r="C7" s="266">
        <f t="shared" ref="C7:C29" si="0">D7+E7+F7</f>
        <v>433.63</v>
      </c>
      <c r="D7" s="267">
        <v>40.21</v>
      </c>
      <c r="E7" s="266">
        <v>34.4</v>
      </c>
      <c r="F7" s="268">
        <v>359.02</v>
      </c>
      <c r="G7" s="269">
        <v>8.9700000000000006</v>
      </c>
      <c r="H7" s="74"/>
      <c r="I7" s="74"/>
      <c r="J7" s="74"/>
      <c r="K7" s="74"/>
    </row>
    <row r="8" spans="1:11" ht="14.5">
      <c r="A8" s="473"/>
      <c r="B8" s="456" t="s">
        <v>234</v>
      </c>
      <c r="C8" s="270">
        <f t="shared" si="0"/>
        <v>388.15999999999997</v>
      </c>
      <c r="D8" s="271">
        <v>35.020000000000003</v>
      </c>
      <c r="E8" s="270">
        <v>28.51</v>
      </c>
      <c r="F8" s="272">
        <v>324.63</v>
      </c>
      <c r="G8" s="273">
        <v>7.62</v>
      </c>
      <c r="H8" s="74"/>
      <c r="I8" s="74"/>
      <c r="J8" s="74"/>
      <c r="K8" s="74"/>
    </row>
    <row r="9" spans="1:11" ht="14.5">
      <c r="A9" s="472">
        <v>2012</v>
      </c>
      <c r="B9" s="455" t="s">
        <v>231</v>
      </c>
      <c r="C9" s="266">
        <f t="shared" si="0"/>
        <v>374.22</v>
      </c>
      <c r="D9" s="267">
        <v>39.409999999999997</v>
      </c>
      <c r="E9" s="266">
        <v>28.12</v>
      </c>
      <c r="F9" s="268">
        <v>306.69</v>
      </c>
      <c r="G9" s="269">
        <v>7.64</v>
      </c>
      <c r="H9" s="74"/>
      <c r="I9" s="74"/>
      <c r="J9" s="74"/>
      <c r="K9" s="74"/>
    </row>
    <row r="10" spans="1:11" ht="14.5">
      <c r="A10" s="472"/>
      <c r="B10" s="455" t="s">
        <v>232</v>
      </c>
      <c r="C10" s="266">
        <f t="shared" si="0"/>
        <v>361.67999999999995</v>
      </c>
      <c r="D10" s="267">
        <v>32.96</v>
      </c>
      <c r="E10" s="266">
        <v>26.94</v>
      </c>
      <c r="F10" s="268">
        <v>301.77999999999997</v>
      </c>
      <c r="G10" s="269">
        <v>7.23</v>
      </c>
      <c r="H10" s="74"/>
      <c r="I10" s="74"/>
      <c r="J10" s="74"/>
      <c r="K10" s="74"/>
    </row>
    <row r="11" spans="1:11" ht="14.5">
      <c r="A11" s="472"/>
      <c r="B11" s="455" t="s">
        <v>233</v>
      </c>
      <c r="C11" s="266">
        <f t="shared" si="0"/>
        <v>363.38</v>
      </c>
      <c r="D11" s="267">
        <v>37.619999999999997</v>
      </c>
      <c r="E11" s="266">
        <v>29.16</v>
      </c>
      <c r="F11" s="268">
        <v>296.60000000000002</v>
      </c>
      <c r="G11" s="269">
        <v>7.03</v>
      </c>
      <c r="H11" s="74"/>
      <c r="I11" s="74"/>
      <c r="J11" s="74"/>
      <c r="K11" s="74"/>
    </row>
    <row r="12" spans="1:11" ht="14.5">
      <c r="A12" s="472"/>
      <c r="B12" s="455" t="s">
        <v>234</v>
      </c>
      <c r="C12" s="270">
        <f t="shared" si="0"/>
        <v>352.72</v>
      </c>
      <c r="D12" s="267">
        <v>33.86</v>
      </c>
      <c r="E12" s="266">
        <v>29.37</v>
      </c>
      <c r="F12" s="268">
        <v>289.49</v>
      </c>
      <c r="G12" s="269">
        <v>6.78</v>
      </c>
      <c r="H12" s="74"/>
      <c r="I12" s="74"/>
      <c r="J12" s="74"/>
      <c r="K12" s="74"/>
    </row>
    <row r="13" spans="1:11" ht="14.5">
      <c r="A13" s="471">
        <v>2013</v>
      </c>
      <c r="B13" s="453" t="s">
        <v>231</v>
      </c>
      <c r="C13" s="266">
        <f t="shared" si="0"/>
        <v>353.83000000000004</v>
      </c>
      <c r="D13" s="263">
        <v>29.16</v>
      </c>
      <c r="E13" s="263">
        <v>34.19</v>
      </c>
      <c r="F13" s="274">
        <v>290.48</v>
      </c>
      <c r="G13" s="265">
        <v>6.83</v>
      </c>
      <c r="H13" s="74"/>
      <c r="I13" s="74"/>
      <c r="J13" s="74"/>
      <c r="K13" s="74"/>
    </row>
    <row r="14" spans="1:11" ht="14.5">
      <c r="A14" s="472"/>
      <c r="B14" s="450" t="s">
        <v>232</v>
      </c>
      <c r="C14" s="266">
        <f t="shared" si="0"/>
        <v>360.89</v>
      </c>
      <c r="D14" s="266">
        <v>42.75</v>
      </c>
      <c r="E14" s="266">
        <v>32.549999999999997</v>
      </c>
      <c r="F14" s="275">
        <v>285.58999999999997</v>
      </c>
      <c r="G14" s="269">
        <v>6.73</v>
      </c>
      <c r="H14" s="74"/>
      <c r="I14" s="74"/>
      <c r="J14" s="74"/>
      <c r="K14" s="74"/>
    </row>
    <row r="15" spans="1:11" ht="14.5">
      <c r="A15" s="472"/>
      <c r="B15" s="450" t="s">
        <v>233</v>
      </c>
      <c r="C15" s="266">
        <f t="shared" si="0"/>
        <v>372.13</v>
      </c>
      <c r="D15" s="266">
        <v>30.78</v>
      </c>
      <c r="E15" s="266">
        <v>48.66</v>
      </c>
      <c r="F15" s="276">
        <v>292.69</v>
      </c>
      <c r="G15" s="266">
        <v>6.78</v>
      </c>
      <c r="H15" s="74"/>
      <c r="I15" s="74"/>
      <c r="J15" s="74"/>
      <c r="K15" s="74"/>
    </row>
    <row r="16" spans="1:11" ht="14.5">
      <c r="A16" s="473"/>
      <c r="B16" s="452" t="s">
        <v>234</v>
      </c>
      <c r="C16" s="270">
        <f t="shared" si="0"/>
        <v>318.62</v>
      </c>
      <c r="D16" s="270">
        <v>30.96</v>
      </c>
      <c r="E16" s="270">
        <v>40.67</v>
      </c>
      <c r="F16" s="277">
        <v>246.99</v>
      </c>
      <c r="G16" s="270">
        <v>5.67</v>
      </c>
      <c r="H16" s="74"/>
      <c r="I16" s="74"/>
      <c r="J16" s="74"/>
      <c r="K16" s="74"/>
    </row>
    <row r="17" spans="1:11" ht="14.5">
      <c r="A17" s="471">
        <v>2014</v>
      </c>
      <c r="B17" s="454" t="s">
        <v>231</v>
      </c>
      <c r="C17" s="266">
        <f t="shared" si="0"/>
        <v>311.02999999999997</v>
      </c>
      <c r="D17" s="266">
        <v>31.01</v>
      </c>
      <c r="E17" s="266">
        <v>34.770000000000003</v>
      </c>
      <c r="F17" s="276">
        <v>245.25</v>
      </c>
      <c r="G17" s="266">
        <v>5.67</v>
      </c>
      <c r="H17" s="74"/>
      <c r="I17" s="74"/>
      <c r="J17" s="74"/>
      <c r="K17" s="74"/>
    </row>
    <row r="18" spans="1:11" ht="14.5">
      <c r="A18" s="472"/>
      <c r="B18" s="455" t="s">
        <v>232</v>
      </c>
      <c r="C18" s="266">
        <f t="shared" si="0"/>
        <v>343.24</v>
      </c>
      <c r="D18" s="267">
        <v>61.63</v>
      </c>
      <c r="E18" s="266">
        <v>45.36</v>
      </c>
      <c r="F18" s="267">
        <v>236.25</v>
      </c>
      <c r="G18" s="266">
        <v>6.2</v>
      </c>
      <c r="H18" s="74"/>
      <c r="I18" s="74"/>
      <c r="J18" s="74"/>
      <c r="K18" s="74"/>
    </row>
    <row r="19" spans="1:11" ht="14.5">
      <c r="A19" s="472"/>
      <c r="B19" s="455" t="s">
        <v>233</v>
      </c>
      <c r="C19" s="266">
        <f t="shared" si="0"/>
        <v>322.10000000000002</v>
      </c>
      <c r="D19" s="267">
        <v>45.52</v>
      </c>
      <c r="E19" s="266">
        <v>56.36</v>
      </c>
      <c r="F19" s="267">
        <v>220.22</v>
      </c>
      <c r="G19" s="266">
        <v>5.73</v>
      </c>
      <c r="H19" s="74"/>
      <c r="I19" s="74"/>
      <c r="J19" s="74"/>
      <c r="K19" s="74"/>
    </row>
    <row r="20" spans="1:11" ht="14.5">
      <c r="A20" s="473"/>
      <c r="B20" s="456" t="s">
        <v>234</v>
      </c>
      <c r="C20" s="270">
        <f t="shared" si="0"/>
        <v>287.35000000000002</v>
      </c>
      <c r="D20" s="271">
        <v>30.31</v>
      </c>
      <c r="E20" s="270">
        <v>35.950000000000003</v>
      </c>
      <c r="F20" s="271">
        <v>221.09</v>
      </c>
      <c r="G20" s="270">
        <v>5.03</v>
      </c>
      <c r="H20" s="74"/>
      <c r="I20" s="74"/>
      <c r="J20" s="74"/>
      <c r="K20" s="74"/>
    </row>
    <row r="21" spans="1:11" ht="14.5">
      <c r="A21" s="472">
        <v>2015</v>
      </c>
      <c r="B21" s="455" t="s">
        <v>231</v>
      </c>
      <c r="C21" s="266">
        <f t="shared" si="0"/>
        <v>263.21999999999997</v>
      </c>
      <c r="D21" s="263">
        <v>36.369999999999997</v>
      </c>
      <c r="E21" s="266">
        <v>28.68</v>
      </c>
      <c r="F21" s="278">
        <v>198.17</v>
      </c>
      <c r="G21" s="263">
        <v>4.6900000000000004</v>
      </c>
      <c r="H21" s="74"/>
      <c r="I21" s="74"/>
      <c r="J21" s="74"/>
      <c r="K21" s="74"/>
    </row>
    <row r="22" spans="1:11" ht="14.5">
      <c r="A22" s="472"/>
      <c r="B22" s="450" t="s">
        <v>232</v>
      </c>
      <c r="C22" s="266">
        <f t="shared" si="0"/>
        <v>234.01</v>
      </c>
      <c r="D22" s="267">
        <v>35.28</v>
      </c>
      <c r="E22" s="266">
        <v>24.59</v>
      </c>
      <c r="F22" s="267">
        <v>174.14</v>
      </c>
      <c r="G22" s="266">
        <v>3.98</v>
      </c>
      <c r="H22" s="74"/>
      <c r="I22" s="74"/>
      <c r="J22" s="74"/>
      <c r="K22" s="74"/>
    </row>
    <row r="23" spans="1:11" ht="14.5">
      <c r="A23" s="472"/>
      <c r="B23" s="450" t="s">
        <v>233</v>
      </c>
      <c r="C23" s="266">
        <f t="shared" si="0"/>
        <v>255.51</v>
      </c>
      <c r="D23" s="266">
        <v>49.89</v>
      </c>
      <c r="E23" s="266">
        <v>28.72</v>
      </c>
      <c r="F23" s="276">
        <v>176.9</v>
      </c>
      <c r="G23" s="266">
        <v>4.2300000000000004</v>
      </c>
      <c r="H23" s="74"/>
      <c r="I23" s="74"/>
      <c r="J23" s="74"/>
      <c r="K23" s="74"/>
    </row>
    <row r="24" spans="1:11" ht="14.5">
      <c r="A24" s="473"/>
      <c r="B24" s="452" t="s">
        <v>234</v>
      </c>
      <c r="C24" s="270">
        <f t="shared" si="0"/>
        <v>299.85000000000002</v>
      </c>
      <c r="D24" s="270">
        <v>63.43</v>
      </c>
      <c r="E24" s="270">
        <v>34.619999999999997</v>
      </c>
      <c r="F24" s="277">
        <v>201.8</v>
      </c>
      <c r="G24" s="270">
        <v>4.9000000000000004</v>
      </c>
      <c r="H24" s="74"/>
      <c r="I24" s="74"/>
      <c r="J24" s="74"/>
      <c r="K24" s="74"/>
    </row>
    <row r="25" spans="1:11" ht="14.5">
      <c r="A25" s="471">
        <v>2016</v>
      </c>
      <c r="B25" s="453" t="s">
        <v>231</v>
      </c>
      <c r="C25" s="266">
        <f t="shared" si="0"/>
        <v>284.72000000000003</v>
      </c>
      <c r="D25" s="263">
        <v>43.79</v>
      </c>
      <c r="E25" s="263">
        <v>59.87</v>
      </c>
      <c r="F25" s="278">
        <v>181.06</v>
      </c>
      <c r="G25" s="263">
        <v>4.67</v>
      </c>
      <c r="H25" s="74"/>
      <c r="I25" s="74"/>
      <c r="J25" s="74"/>
      <c r="K25" s="74"/>
    </row>
    <row r="26" spans="1:11" ht="14.5">
      <c r="A26" s="472"/>
      <c r="B26" s="450" t="s">
        <v>232</v>
      </c>
      <c r="C26" s="266">
        <f t="shared" si="0"/>
        <v>272.81</v>
      </c>
      <c r="D26" s="266">
        <v>36.590000000000003</v>
      </c>
      <c r="E26" s="266">
        <v>52.71</v>
      </c>
      <c r="F26" s="276">
        <v>183.51</v>
      </c>
      <c r="G26" s="266">
        <v>4.53</v>
      </c>
      <c r="H26" s="74"/>
      <c r="I26" s="74"/>
      <c r="J26" s="74"/>
      <c r="K26" s="74"/>
    </row>
    <row r="27" spans="1:11" ht="14.5">
      <c r="A27" s="472"/>
      <c r="B27" s="450" t="s">
        <v>233</v>
      </c>
      <c r="C27" s="266">
        <f t="shared" si="0"/>
        <v>320.49</v>
      </c>
      <c r="D27" s="266">
        <v>77.81</v>
      </c>
      <c r="E27" s="266">
        <v>54.59</v>
      </c>
      <c r="F27" s="276">
        <v>188.09</v>
      </c>
      <c r="G27" s="266">
        <v>5.43</v>
      </c>
      <c r="H27" s="74"/>
      <c r="I27" s="74"/>
      <c r="J27" s="74"/>
      <c r="K27" s="74"/>
    </row>
    <row r="28" spans="1:11" ht="14.5">
      <c r="A28" s="473"/>
      <c r="B28" s="452" t="s">
        <v>234</v>
      </c>
      <c r="C28" s="270">
        <f t="shared" si="0"/>
        <v>317.91999999999996</v>
      </c>
      <c r="D28" s="270">
        <v>66.16</v>
      </c>
      <c r="E28" s="270">
        <v>42.78</v>
      </c>
      <c r="F28" s="277">
        <v>208.98</v>
      </c>
      <c r="G28" s="270">
        <v>5.88</v>
      </c>
      <c r="H28" s="74"/>
      <c r="I28" s="74"/>
      <c r="J28" s="74"/>
      <c r="K28" s="74"/>
    </row>
    <row r="29" spans="1:11" ht="14.5">
      <c r="A29" s="471">
        <v>2017</v>
      </c>
      <c r="B29" s="453" t="s">
        <v>231</v>
      </c>
      <c r="C29" s="266">
        <f t="shared" si="0"/>
        <v>301.51</v>
      </c>
      <c r="D29" s="263">
        <v>85.18</v>
      </c>
      <c r="E29" s="263">
        <v>32.520000000000003</v>
      </c>
      <c r="F29" s="278">
        <v>183.81</v>
      </c>
      <c r="G29" s="263">
        <v>5.75</v>
      </c>
      <c r="H29" s="74"/>
      <c r="I29" s="74"/>
      <c r="J29" s="74"/>
      <c r="K29" s="74"/>
    </row>
    <row r="30" spans="1:11" ht="14.5">
      <c r="A30" s="472"/>
      <c r="B30" s="450" t="s">
        <v>232</v>
      </c>
      <c r="C30" s="266">
        <f t="shared" ref="C30:C63" si="1">D30+E30+F30</f>
        <v>276.79999999999995</v>
      </c>
      <c r="D30" s="266">
        <v>58.54</v>
      </c>
      <c r="E30" s="266">
        <v>35.78</v>
      </c>
      <c r="F30" s="276">
        <v>182.48</v>
      </c>
      <c r="G30" s="266">
        <v>5.3</v>
      </c>
      <c r="H30" s="74"/>
      <c r="I30" s="74"/>
      <c r="J30" s="74"/>
      <c r="K30" s="74"/>
    </row>
    <row r="31" spans="1:11" ht="14.5">
      <c r="A31" s="472"/>
      <c r="B31" s="450" t="s">
        <v>233</v>
      </c>
      <c r="C31" s="266">
        <f t="shared" si="1"/>
        <v>274.22000000000003</v>
      </c>
      <c r="D31" s="266">
        <v>47.99</v>
      </c>
      <c r="E31" s="266">
        <v>37.96</v>
      </c>
      <c r="F31" s="276">
        <v>188.27</v>
      </c>
      <c r="G31" s="266">
        <v>5.29</v>
      </c>
      <c r="H31" s="74"/>
      <c r="I31" s="74"/>
      <c r="J31" s="74"/>
      <c r="K31" s="74"/>
    </row>
    <row r="32" spans="1:11" ht="14.5">
      <c r="A32" s="473"/>
      <c r="B32" s="452" t="s">
        <v>234</v>
      </c>
      <c r="C32" s="270">
        <f t="shared" si="1"/>
        <v>225.68</v>
      </c>
      <c r="D32" s="270">
        <v>29.19</v>
      </c>
      <c r="E32" s="270">
        <v>31.17</v>
      </c>
      <c r="F32" s="277">
        <v>165.32</v>
      </c>
      <c r="G32" s="270">
        <v>4.4000000000000004</v>
      </c>
      <c r="H32" s="74"/>
      <c r="I32" s="74"/>
      <c r="J32" s="74"/>
      <c r="K32" s="74"/>
    </row>
    <row r="33" spans="1:11" ht="14.5">
      <c r="A33" s="471">
        <v>2018</v>
      </c>
      <c r="B33" s="453" t="s">
        <v>231</v>
      </c>
      <c r="C33" s="263">
        <f t="shared" si="1"/>
        <v>263.35000000000002</v>
      </c>
      <c r="D33" s="263">
        <v>79.95</v>
      </c>
      <c r="E33" s="263">
        <v>21.92</v>
      </c>
      <c r="F33" s="278">
        <v>161.47999999999999</v>
      </c>
      <c r="G33" s="263">
        <v>5.13</v>
      </c>
      <c r="H33" s="74"/>
      <c r="I33" s="74"/>
      <c r="J33" s="74"/>
      <c r="K33" s="74"/>
    </row>
    <row r="34" spans="1:11" ht="14.5">
      <c r="A34" s="472"/>
      <c r="B34" s="450" t="s">
        <v>232</v>
      </c>
      <c r="C34" s="266">
        <f t="shared" si="1"/>
        <v>279.08000000000004</v>
      </c>
      <c r="D34" s="266">
        <v>60.29</v>
      </c>
      <c r="E34" s="266">
        <v>63.39</v>
      </c>
      <c r="F34" s="276">
        <v>155.4</v>
      </c>
      <c r="G34" s="266">
        <v>5.18</v>
      </c>
      <c r="H34" s="74"/>
      <c r="I34" s="74"/>
      <c r="J34" s="74"/>
      <c r="K34" s="74"/>
    </row>
    <row r="35" spans="1:11" ht="14.5">
      <c r="A35" s="472"/>
      <c r="B35" s="455" t="s">
        <v>233</v>
      </c>
      <c r="C35" s="266">
        <f t="shared" si="1"/>
        <v>316.99</v>
      </c>
      <c r="D35" s="266">
        <v>79.63</v>
      </c>
      <c r="E35" s="266">
        <v>91.79</v>
      </c>
      <c r="F35" s="276">
        <v>145.57</v>
      </c>
      <c r="G35" s="266">
        <v>5.85</v>
      </c>
      <c r="H35" s="74"/>
      <c r="I35" s="74"/>
      <c r="J35" s="74"/>
      <c r="K35" s="74"/>
    </row>
    <row r="36" spans="1:11" ht="14.5">
      <c r="A36" s="473"/>
      <c r="B36" s="456" t="s">
        <v>234</v>
      </c>
      <c r="C36" s="270">
        <f t="shared" si="1"/>
        <v>312.39999999999998</v>
      </c>
      <c r="D36" s="270">
        <v>58.89</v>
      </c>
      <c r="E36" s="270">
        <v>67.87</v>
      </c>
      <c r="F36" s="277">
        <v>185.64</v>
      </c>
      <c r="G36" s="270">
        <v>5.71</v>
      </c>
      <c r="H36" s="74"/>
      <c r="I36" s="74"/>
      <c r="J36" s="74"/>
      <c r="K36" s="74"/>
    </row>
    <row r="37" spans="1:11" ht="14.5">
      <c r="A37" s="471">
        <v>2019</v>
      </c>
      <c r="B37" s="454" t="s">
        <v>231</v>
      </c>
      <c r="C37" s="263">
        <f t="shared" si="1"/>
        <v>275.3</v>
      </c>
      <c r="D37" s="263">
        <v>63.56</v>
      </c>
      <c r="E37" s="263">
        <v>38.42</v>
      </c>
      <c r="F37" s="278">
        <v>173.32</v>
      </c>
      <c r="G37" s="263">
        <v>5.08</v>
      </c>
      <c r="H37" s="74"/>
      <c r="I37" s="74"/>
      <c r="J37" s="74"/>
      <c r="K37" s="74"/>
    </row>
    <row r="38" spans="1:11" ht="14.5">
      <c r="A38" s="472"/>
      <c r="B38" s="450" t="s">
        <v>232</v>
      </c>
      <c r="C38" s="266">
        <f t="shared" si="1"/>
        <v>289.89</v>
      </c>
      <c r="D38" s="266">
        <v>72.349999999999994</v>
      </c>
      <c r="E38" s="266">
        <v>36.06</v>
      </c>
      <c r="F38" s="276">
        <v>181.48</v>
      </c>
      <c r="G38" s="266">
        <v>5.27</v>
      </c>
      <c r="H38" s="74"/>
      <c r="I38" s="74"/>
      <c r="J38" s="74"/>
      <c r="K38" s="74"/>
    </row>
    <row r="39" spans="1:11" ht="14.5">
      <c r="A39" s="472"/>
      <c r="B39" s="455" t="s">
        <v>233</v>
      </c>
      <c r="C39" s="266">
        <f t="shared" si="1"/>
        <v>282.47000000000003</v>
      </c>
      <c r="D39" s="266">
        <v>48.51</v>
      </c>
      <c r="E39" s="266">
        <v>60.35</v>
      </c>
      <c r="F39" s="266">
        <v>173.61</v>
      </c>
      <c r="G39" s="266">
        <v>4.84</v>
      </c>
      <c r="H39" s="74"/>
      <c r="I39" s="74"/>
      <c r="J39" s="74"/>
      <c r="K39" s="74"/>
    </row>
    <row r="40" spans="1:11" ht="14.5">
      <c r="A40" s="473"/>
      <c r="B40" s="456" t="s">
        <v>234</v>
      </c>
      <c r="C40" s="270">
        <f t="shared" si="1"/>
        <v>273.37</v>
      </c>
      <c r="D40" s="270">
        <v>48.08</v>
      </c>
      <c r="E40" s="270">
        <v>61.97</v>
      </c>
      <c r="F40" s="270">
        <v>163.32</v>
      </c>
      <c r="G40" s="279">
        <v>4.6399999999999997</v>
      </c>
      <c r="H40" s="74"/>
      <c r="I40" s="74"/>
      <c r="J40" s="74"/>
      <c r="K40" s="74"/>
    </row>
    <row r="41" spans="1:11" ht="12.75" customHeight="1">
      <c r="A41" s="471">
        <v>2020</v>
      </c>
      <c r="B41" s="453" t="s">
        <v>231</v>
      </c>
      <c r="C41" s="263">
        <f t="shared" si="1"/>
        <v>262.91416486079117</v>
      </c>
      <c r="D41" s="263">
        <v>45.003254649460168</v>
      </c>
      <c r="E41" s="263">
        <v>60.124793544492007</v>
      </c>
      <c r="F41" s="263">
        <v>157.78611666683901</v>
      </c>
      <c r="G41" s="280">
        <v>4.3747004227587816</v>
      </c>
      <c r="H41" s="74"/>
      <c r="I41" s="74"/>
      <c r="J41" s="74"/>
      <c r="K41" s="74"/>
    </row>
    <row r="42" spans="1:11" ht="12.75" customHeight="1">
      <c r="A42" s="472"/>
      <c r="B42" s="450" t="s">
        <v>232</v>
      </c>
      <c r="C42" s="266">
        <f t="shared" si="1"/>
        <v>253.48345427801553</v>
      </c>
      <c r="D42" s="266">
        <v>40.587353410683455</v>
      </c>
      <c r="E42" s="266">
        <v>29.951022955720283</v>
      </c>
      <c r="F42" s="266">
        <v>182.9450779116118</v>
      </c>
      <c r="G42" s="281">
        <v>4.3099999999999996</v>
      </c>
      <c r="H42" s="74"/>
      <c r="I42" s="74"/>
      <c r="J42" s="74"/>
      <c r="K42" s="74"/>
    </row>
    <row r="43" spans="1:11" ht="12.75" customHeight="1">
      <c r="A43" s="472"/>
      <c r="B43" s="450" t="s">
        <v>233</v>
      </c>
      <c r="C43" s="266">
        <f t="shared" si="1"/>
        <v>253.19688899601692</v>
      </c>
      <c r="D43" s="266">
        <v>42.735826328777499</v>
      </c>
      <c r="E43" s="266">
        <v>25.687698626191398</v>
      </c>
      <c r="F43" s="266">
        <v>184.77336404104801</v>
      </c>
      <c r="G43" s="281">
        <v>4.3499999999999996</v>
      </c>
      <c r="H43" s="74"/>
      <c r="I43" s="74"/>
      <c r="J43" s="74"/>
      <c r="K43" s="74"/>
    </row>
    <row r="44" spans="1:11" ht="12.75" customHeight="1">
      <c r="A44" s="473"/>
      <c r="B44" s="452" t="s">
        <v>234</v>
      </c>
      <c r="C44" s="270">
        <f t="shared" si="1"/>
        <v>273.75483549405419</v>
      </c>
      <c r="D44" s="270">
        <v>43.738672057660402</v>
      </c>
      <c r="E44" s="270">
        <v>23.397973439123799</v>
      </c>
      <c r="F44" s="270">
        <v>206.61818999727001</v>
      </c>
      <c r="G44" s="279">
        <v>4.7003891426411304</v>
      </c>
      <c r="H44" s="74"/>
      <c r="I44" s="74"/>
      <c r="J44" s="74"/>
      <c r="K44" s="74"/>
    </row>
    <row r="45" spans="1:11" ht="12.75" customHeight="1">
      <c r="A45" s="471">
        <v>2021</v>
      </c>
      <c r="B45" s="453" t="s">
        <v>231</v>
      </c>
      <c r="C45" s="389">
        <f t="shared" si="1"/>
        <v>264.48713476423711</v>
      </c>
      <c r="D45" s="389">
        <v>41.440698396447836</v>
      </c>
      <c r="E45" s="389">
        <v>27.307789230118392</v>
      </c>
      <c r="F45" s="389">
        <v>195.73864713767088</v>
      </c>
      <c r="G45" s="390">
        <v>4.5369090484919417</v>
      </c>
      <c r="H45" s="74"/>
      <c r="I45" s="74"/>
      <c r="J45" s="74"/>
      <c r="K45" s="74"/>
    </row>
    <row r="46" spans="1:11" ht="36" customHeight="1">
      <c r="A46" s="649"/>
      <c r="B46" s="450"/>
      <c r="C46" s="266"/>
      <c r="D46" s="571" t="s">
        <v>241</v>
      </c>
      <c r="E46" s="572" t="s">
        <v>242</v>
      </c>
      <c r="F46" s="572" t="s">
        <v>243</v>
      </c>
      <c r="G46" s="281"/>
      <c r="H46" s="74"/>
      <c r="I46" s="74"/>
      <c r="J46" s="74"/>
      <c r="K46" s="74"/>
    </row>
    <row r="47" spans="1:11" ht="12.75" customHeight="1">
      <c r="A47" s="649"/>
      <c r="B47" s="450" t="s">
        <v>232</v>
      </c>
      <c r="C47" s="263">
        <f t="shared" si="1"/>
        <v>241.08668981396613</v>
      </c>
      <c r="D47" s="263">
        <v>92.269663470713837</v>
      </c>
      <c r="E47" s="263">
        <v>17.576385794361915</v>
      </c>
      <c r="F47" s="263">
        <v>131.24064054889038</v>
      </c>
      <c r="G47" s="280">
        <v>3.9286027506768177</v>
      </c>
      <c r="H47" s="74"/>
      <c r="I47" s="74"/>
      <c r="J47" s="74"/>
      <c r="K47" s="74"/>
    </row>
    <row r="48" spans="1:11" ht="12.75" customHeight="1">
      <c r="A48" s="515"/>
      <c r="B48" s="450" t="s">
        <v>233</v>
      </c>
      <c r="C48" s="266">
        <f t="shared" si="1"/>
        <v>222.67251689640335</v>
      </c>
      <c r="D48" s="266">
        <v>75.676569459107299</v>
      </c>
      <c r="E48" s="266">
        <v>29.97118792157233</v>
      </c>
      <c r="F48" s="266">
        <v>117.02475951572374</v>
      </c>
      <c r="G48" s="281">
        <v>3.6368068734870294</v>
      </c>
      <c r="H48" s="74"/>
      <c r="I48" s="74"/>
      <c r="J48" s="74"/>
      <c r="K48" s="74"/>
    </row>
    <row r="49" spans="1:11" ht="12.75" customHeight="1">
      <c r="A49" s="516"/>
      <c r="B49" s="452" t="s">
        <v>234</v>
      </c>
      <c r="C49" s="270">
        <f t="shared" si="1"/>
        <v>224.64680501952529</v>
      </c>
      <c r="D49" s="270">
        <v>86.710525378092797</v>
      </c>
      <c r="E49" s="270">
        <v>17.734225735970501</v>
      </c>
      <c r="F49" s="270">
        <v>120.20205390546199</v>
      </c>
      <c r="G49" s="279">
        <v>3.5990409864850714</v>
      </c>
      <c r="H49" s="74"/>
      <c r="I49" s="74"/>
      <c r="J49" s="74"/>
      <c r="K49" s="74"/>
    </row>
    <row r="50" spans="1:11" ht="12.75" customHeight="1">
      <c r="A50" s="471">
        <v>2022</v>
      </c>
      <c r="B50" s="453" t="s">
        <v>231</v>
      </c>
      <c r="C50" s="263">
        <f t="shared" si="1"/>
        <v>213.41571375184452</v>
      </c>
      <c r="D50" s="263">
        <v>67.065980044061007</v>
      </c>
      <c r="E50" s="263">
        <v>24.058565820430498</v>
      </c>
      <c r="F50" s="263">
        <v>122.291167887353</v>
      </c>
      <c r="G50" s="280">
        <v>3.3496044424356799</v>
      </c>
      <c r="H50" s="74"/>
      <c r="I50" s="74"/>
      <c r="J50" s="74"/>
      <c r="K50" s="74"/>
    </row>
    <row r="51" spans="1:11" ht="12.75" customHeight="1">
      <c r="A51" s="472"/>
      <c r="B51" s="450" t="s">
        <v>232</v>
      </c>
      <c r="C51" s="266">
        <f t="shared" si="1"/>
        <v>232.86044125598141</v>
      </c>
      <c r="D51" s="266">
        <v>100.2442577491707</v>
      </c>
      <c r="E51" s="266">
        <v>14.606904627045925</v>
      </c>
      <c r="F51" s="266">
        <v>118.00927887976478</v>
      </c>
      <c r="G51" s="281">
        <v>3.6208271513294719</v>
      </c>
      <c r="H51" s="74"/>
      <c r="I51" s="74"/>
      <c r="J51" s="74"/>
      <c r="K51" s="74"/>
    </row>
    <row r="52" spans="1:11" ht="12.75" customHeight="1">
      <c r="A52" s="472"/>
      <c r="B52" s="450" t="s">
        <v>233</v>
      </c>
      <c r="C52" s="266">
        <f t="shared" si="1"/>
        <v>219.65327752610744</v>
      </c>
      <c r="D52" s="266">
        <v>107.53775870907357</v>
      </c>
      <c r="E52" s="266">
        <v>9.38311690912216</v>
      </c>
      <c r="F52" s="266">
        <v>102.73240190791169</v>
      </c>
      <c r="G52" s="281">
        <v>3.3062114874412476</v>
      </c>
      <c r="H52" s="74"/>
      <c r="I52" s="74"/>
      <c r="J52" s="74"/>
      <c r="K52" s="74"/>
    </row>
    <row r="53" spans="1:11" ht="12.75" customHeight="1">
      <c r="A53" s="473"/>
      <c r="B53" s="452" t="s">
        <v>234</v>
      </c>
      <c r="C53" s="270">
        <f t="shared" si="1"/>
        <v>217.72748164552286</v>
      </c>
      <c r="D53" s="270">
        <v>118.519633402144</v>
      </c>
      <c r="E53" s="270">
        <v>8.6699545843933699</v>
      </c>
      <c r="F53" s="270">
        <v>90.537893658985496</v>
      </c>
      <c r="G53" s="279">
        <v>3.3413202701551037</v>
      </c>
      <c r="H53" s="74"/>
      <c r="I53" s="74"/>
      <c r="J53" s="74"/>
      <c r="K53" s="74"/>
    </row>
    <row r="54" spans="1:11" ht="12.75" customHeight="1">
      <c r="A54" s="471">
        <v>2023</v>
      </c>
      <c r="B54" s="453" t="s">
        <v>231</v>
      </c>
      <c r="C54" s="263">
        <f t="shared" si="1"/>
        <v>204.68476892510222</v>
      </c>
      <c r="D54" s="263">
        <v>99.585163005541702</v>
      </c>
      <c r="E54" s="263">
        <v>14.448955454797</v>
      </c>
      <c r="F54" s="263">
        <v>90.650650464763501</v>
      </c>
      <c r="G54" s="280">
        <v>3.1540796302598464</v>
      </c>
      <c r="H54" s="74"/>
      <c r="I54" s="74"/>
      <c r="J54" s="74"/>
      <c r="K54" s="74"/>
    </row>
    <row r="55" spans="1:11" ht="12.75" customHeight="1">
      <c r="A55" s="472"/>
      <c r="B55" s="450" t="s">
        <v>232</v>
      </c>
      <c r="C55" s="266">
        <f t="shared" si="1"/>
        <v>195.0955729130319</v>
      </c>
      <c r="D55" s="266">
        <v>94.520615358224006</v>
      </c>
      <c r="E55" s="266">
        <v>20.986895732834</v>
      </c>
      <c r="F55" s="266">
        <v>79.588061821973895</v>
      </c>
      <c r="G55" s="281">
        <v>2.870572826003202</v>
      </c>
      <c r="H55" s="74"/>
      <c r="I55" s="74"/>
      <c r="J55" s="74"/>
      <c r="K55" s="74"/>
    </row>
    <row r="56" spans="1:11" ht="12.75" customHeight="1">
      <c r="A56" s="472"/>
      <c r="B56" s="450" t="s">
        <v>233</v>
      </c>
      <c r="C56" s="266">
        <f t="shared" si="1"/>
        <v>181.92989747162704</v>
      </c>
      <c r="D56" s="266">
        <v>95.336902621269502</v>
      </c>
      <c r="E56" s="266">
        <v>7.5817445090905498</v>
      </c>
      <c r="F56" s="266">
        <v>79.011250341267001</v>
      </c>
      <c r="G56" s="281">
        <v>2.5894895066217467</v>
      </c>
      <c r="H56" s="74"/>
      <c r="I56" s="74"/>
      <c r="J56" s="74"/>
      <c r="K56" s="74"/>
    </row>
    <row r="57" spans="1:11" ht="12.75" customHeight="1">
      <c r="A57" s="473"/>
      <c r="B57" s="452" t="s">
        <v>234</v>
      </c>
      <c r="C57" s="270">
        <f t="shared" si="1"/>
        <v>188.33295470242319</v>
      </c>
      <c r="D57" s="270">
        <v>110.66624079427601</v>
      </c>
      <c r="E57" s="270">
        <v>9.2051659605958704</v>
      </c>
      <c r="F57" s="270">
        <v>68.461547947551296</v>
      </c>
      <c r="G57" s="279">
        <v>2.5909872048496325</v>
      </c>
      <c r="H57" s="74"/>
      <c r="I57" s="74"/>
      <c r="J57" s="74"/>
      <c r="K57" s="74"/>
    </row>
    <row r="58" spans="1:11" ht="12.75" customHeight="1">
      <c r="A58" s="471">
        <v>2024</v>
      </c>
      <c r="B58" s="453" t="s">
        <v>231</v>
      </c>
      <c r="C58" s="263">
        <f t="shared" si="1"/>
        <v>182.46175981436988</v>
      </c>
      <c r="D58" s="263">
        <v>103.74929048073299</v>
      </c>
      <c r="E58" s="263">
        <v>10.107372371716</v>
      </c>
      <c r="F58" s="263">
        <v>68.605096961920907</v>
      </c>
      <c r="G58" s="280">
        <v>2.4823702101721397</v>
      </c>
      <c r="H58" s="74"/>
      <c r="I58" s="74"/>
      <c r="J58" s="74"/>
      <c r="K58" s="74"/>
    </row>
    <row r="59" spans="1:11" ht="12.75" customHeight="1">
      <c r="A59" s="472"/>
      <c r="B59" s="450" t="s">
        <v>232</v>
      </c>
      <c r="C59" s="266">
        <f t="shared" si="1"/>
        <v>180.93628102749022</v>
      </c>
      <c r="D59" s="266">
        <v>101.21270083224201</v>
      </c>
      <c r="E59" s="266">
        <v>13.200363350636501</v>
      </c>
      <c r="F59" s="266">
        <v>66.523216844611696</v>
      </c>
      <c r="G59" s="281">
        <v>2.3665070249237674</v>
      </c>
      <c r="H59" s="74"/>
      <c r="I59" s="74"/>
      <c r="J59" s="74"/>
      <c r="K59" s="74"/>
    </row>
    <row r="60" spans="1:11" ht="12.75" customHeight="1">
      <c r="A60" s="472"/>
      <c r="B60" s="450" t="s">
        <v>233</v>
      </c>
      <c r="C60" s="266">
        <f t="shared" si="1"/>
        <v>173.9477534184976</v>
      </c>
      <c r="D60" s="266">
        <v>80.265253027661998</v>
      </c>
      <c r="E60" s="266">
        <v>25.5481549769884</v>
      </c>
      <c r="F60" s="266">
        <v>68.1343454138472</v>
      </c>
      <c r="G60" s="281">
        <v>2.2726097375352463</v>
      </c>
      <c r="H60" s="74"/>
      <c r="I60" s="74"/>
      <c r="J60" s="74"/>
      <c r="K60" s="74"/>
    </row>
    <row r="61" spans="1:11" ht="12.75" customHeight="1">
      <c r="A61" s="472"/>
      <c r="B61" s="450" t="s">
        <v>234</v>
      </c>
      <c r="C61" s="266">
        <f t="shared" si="1"/>
        <v>158.7421024935021</v>
      </c>
      <c r="D61" s="266">
        <v>70.258808889600104</v>
      </c>
      <c r="E61" s="266">
        <v>21.422172864581899</v>
      </c>
      <c r="F61" s="266">
        <v>67.061120739320103</v>
      </c>
      <c r="G61" s="281">
        <v>2.0022189478347037</v>
      </c>
      <c r="H61" s="74"/>
      <c r="I61" s="74"/>
      <c r="J61" s="74"/>
      <c r="K61" s="74"/>
    </row>
    <row r="62" spans="1:11" ht="15.65" customHeight="1">
      <c r="A62" s="471">
        <v>2025</v>
      </c>
      <c r="B62" s="454" t="s">
        <v>231</v>
      </c>
      <c r="C62" s="263">
        <f t="shared" si="1"/>
        <v>163.50090372799809</v>
      </c>
      <c r="D62" s="263">
        <v>53.072221609801097</v>
      </c>
      <c r="E62" s="263">
        <v>42.3746761968521</v>
      </c>
      <c r="F62" s="263">
        <v>68.054005921344896</v>
      </c>
      <c r="G62" s="280">
        <v>2.0223009913309626</v>
      </c>
      <c r="H62" s="74"/>
      <c r="I62" s="74"/>
      <c r="J62" s="74"/>
      <c r="K62" s="74"/>
    </row>
    <row r="63" spans="1:11" ht="15.65" customHeight="1">
      <c r="A63" s="473"/>
      <c r="B63" s="456" t="s">
        <v>232</v>
      </c>
      <c r="C63" s="270">
        <f t="shared" si="1"/>
        <v>160.43870144785521</v>
      </c>
      <c r="D63" s="270">
        <v>42.428972440773201</v>
      </c>
      <c r="E63" s="270">
        <v>47.767188253611401</v>
      </c>
      <c r="F63" s="270">
        <v>70.242540753470607</v>
      </c>
      <c r="G63" s="279">
        <v>1.9090124360818059</v>
      </c>
      <c r="H63" s="74"/>
      <c r="I63" s="74"/>
      <c r="J63" s="74"/>
      <c r="K63" s="74"/>
    </row>
    <row r="64" spans="1:11" ht="13" customHeight="1">
      <c r="C64" s="71"/>
      <c r="D64" s="71"/>
      <c r="E64" s="71"/>
      <c r="F64" s="71"/>
      <c r="G64" s="71"/>
      <c r="I64" s="74"/>
    </row>
    <row r="65" spans="1:8" ht="13" customHeight="1">
      <c r="A65" s="491" t="s">
        <v>195</v>
      </c>
      <c r="B65" s="491"/>
      <c r="C65" s="491"/>
      <c r="D65" s="491"/>
      <c r="E65" s="491"/>
      <c r="F65" s="491"/>
      <c r="G65" s="491"/>
    </row>
    <row r="66" spans="1:8">
      <c r="A66" s="491"/>
      <c r="B66" s="491"/>
      <c r="C66" s="491"/>
      <c r="D66" s="519"/>
      <c r="E66" s="519"/>
      <c r="F66" s="519"/>
      <c r="G66" s="519"/>
      <c r="H66" s="71"/>
    </row>
    <row r="67" spans="1:8">
      <c r="A67" s="475" t="s">
        <v>244</v>
      </c>
      <c r="B67" s="491"/>
      <c r="C67" s="491"/>
      <c r="D67" s="519"/>
      <c r="E67" s="519"/>
      <c r="F67" s="519"/>
      <c r="G67" s="519"/>
    </row>
    <row r="68" spans="1:8">
      <c r="A68" s="475" t="s">
        <v>245</v>
      </c>
      <c r="B68" s="491"/>
      <c r="C68" s="491"/>
      <c r="D68" s="519"/>
      <c r="E68" s="519"/>
      <c r="F68" s="519"/>
      <c r="G68" s="519"/>
    </row>
    <row r="69" spans="1:8" ht="133.5" customHeight="1">
      <c r="A69" s="795" t="s">
        <v>246</v>
      </c>
      <c r="B69" s="795"/>
      <c r="C69" s="795"/>
      <c r="D69" s="795"/>
      <c r="E69" s="795"/>
      <c r="F69" s="795"/>
      <c r="G69" s="795"/>
    </row>
    <row r="70" spans="1:8" ht="45.65" customHeight="1">
      <c r="A70" s="795" t="s">
        <v>247</v>
      </c>
      <c r="B70" s="795"/>
      <c r="C70" s="795"/>
      <c r="D70" s="795"/>
      <c r="E70" s="795"/>
      <c r="F70" s="795"/>
      <c r="G70" s="795"/>
    </row>
    <row r="71" spans="1:8" ht="13" customHeight="1">
      <c r="D71" s="74"/>
      <c r="E71" s="74"/>
      <c r="F71" s="74"/>
      <c r="G71" s="74"/>
    </row>
    <row r="72" spans="1:8">
      <c r="D72" s="74"/>
      <c r="E72" s="74"/>
      <c r="F72" s="74"/>
      <c r="G72" s="74"/>
    </row>
  </sheetData>
  <sheetProtection formatCells="0" insertColumns="0" insertRows="0" deleteColumns="0" deleteRows="0"/>
  <mergeCells count="7">
    <mergeCell ref="A70:G70"/>
    <mergeCell ref="A1:G1"/>
    <mergeCell ref="A2:F2"/>
    <mergeCell ref="A69:G69"/>
    <mergeCell ref="A3:B4"/>
    <mergeCell ref="C3:F3"/>
    <mergeCell ref="G3:G4"/>
  </mergeCells>
  <printOptions horizontalCentered="1"/>
  <pageMargins left="0.67" right="0.84" top="1.31"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69"/>
  <sheetViews>
    <sheetView zoomScaleNormal="100" workbookViewId="0">
      <pane xSplit="2" ySplit="5" topLeftCell="C60" activePane="bottomRight" state="frozen"/>
      <selection pane="topRight" activeCell="G153" sqref="G153"/>
      <selection pane="bottomLeft" activeCell="G153" sqref="G153"/>
      <selection pane="bottomRight" sqref="A1:G1"/>
    </sheetView>
  </sheetViews>
  <sheetFormatPr defaultColWidth="9.1796875" defaultRowHeight="13"/>
  <cols>
    <col min="1" max="1" width="6.81640625" style="65" customWidth="1"/>
    <col min="2" max="2" width="6" style="65" customWidth="1"/>
    <col min="3" max="3" width="8.453125" style="65" customWidth="1"/>
    <col min="4" max="4" width="10" style="65" customWidth="1"/>
    <col min="5" max="5" width="9.81640625" style="65" customWidth="1"/>
    <col min="6" max="6" width="8.1796875" style="65" customWidth="1"/>
    <col min="7" max="7" width="8.81640625" style="65" customWidth="1"/>
    <col min="8" max="8" width="7.453125" style="65" customWidth="1"/>
    <col min="9" max="9" width="6.54296875" style="65" customWidth="1"/>
    <col min="10" max="10" width="8.453125" style="65" bestFit="1" customWidth="1"/>
    <col min="11" max="11" width="7.1796875" style="65" customWidth="1"/>
    <col min="12" max="14" width="8.453125" style="65" bestFit="1" customWidth="1"/>
    <col min="15" max="15" width="7.81640625" style="65" customWidth="1"/>
    <col min="16" max="16" width="8.453125" style="65" bestFit="1" customWidth="1"/>
    <col min="17" max="16384" width="9.1796875" style="65"/>
  </cols>
  <sheetData>
    <row r="1" spans="1:31" s="70" customFormat="1" ht="14">
      <c r="A1" s="716" t="s">
        <v>248</v>
      </c>
      <c r="B1" s="716"/>
      <c r="C1" s="716"/>
      <c r="D1" s="716"/>
      <c r="E1" s="716"/>
      <c r="F1" s="716"/>
      <c r="G1" s="716"/>
      <c r="H1" s="716"/>
      <c r="I1" s="716"/>
      <c r="J1" s="716"/>
      <c r="K1" s="716"/>
      <c r="L1" s="716"/>
    </row>
    <row r="2" spans="1:31">
      <c r="U2" s="716"/>
      <c r="V2" s="716"/>
      <c r="W2" s="716"/>
      <c r="X2" s="716"/>
      <c r="Y2" s="716"/>
      <c r="Z2" s="716"/>
      <c r="AA2" s="716"/>
    </row>
    <row r="3" spans="1:31">
      <c r="A3" s="750" t="s">
        <v>249</v>
      </c>
      <c r="B3" s="750"/>
      <c r="C3" s="750"/>
      <c r="D3" s="750"/>
      <c r="E3" s="750"/>
      <c r="F3" s="750"/>
      <c r="G3" s="750"/>
      <c r="H3" s="750"/>
      <c r="I3" s="750"/>
      <c r="J3" s="750"/>
      <c r="K3" s="750"/>
      <c r="L3" s="750"/>
      <c r="M3" s="750"/>
      <c r="N3" s="750"/>
      <c r="O3" s="750"/>
      <c r="P3" s="750"/>
    </row>
    <row r="4" spans="1:31" s="121" customFormat="1" ht="15" customHeight="1">
      <c r="A4" s="799" t="s">
        <v>98</v>
      </c>
      <c r="B4" s="800"/>
      <c r="C4" s="796" t="s">
        <v>250</v>
      </c>
      <c r="D4" s="797"/>
      <c r="E4" s="798"/>
      <c r="F4" s="796" t="s">
        <v>251</v>
      </c>
      <c r="G4" s="797"/>
      <c r="H4" s="798"/>
      <c r="I4" s="796" t="s">
        <v>252</v>
      </c>
      <c r="J4" s="797"/>
      <c r="K4" s="797"/>
      <c r="L4" s="798"/>
      <c r="M4" s="796" t="s">
        <v>253</v>
      </c>
      <c r="N4" s="797"/>
      <c r="O4" s="797"/>
      <c r="P4" s="798"/>
    </row>
    <row r="5" spans="1:31" s="121" customFormat="1" ht="165" customHeight="1">
      <c r="A5" s="801"/>
      <c r="B5" s="802"/>
      <c r="C5" s="573" t="s">
        <v>254</v>
      </c>
      <c r="D5" s="573" t="s">
        <v>255</v>
      </c>
      <c r="E5" s="573" t="s">
        <v>256</v>
      </c>
      <c r="F5" s="573" t="s">
        <v>257</v>
      </c>
      <c r="G5" s="573" t="s">
        <v>258</v>
      </c>
      <c r="H5" s="573" t="s">
        <v>259</v>
      </c>
      <c r="I5" s="573" t="s">
        <v>260</v>
      </c>
      <c r="J5" s="573" t="s">
        <v>261</v>
      </c>
      <c r="K5" s="573" t="s">
        <v>262</v>
      </c>
      <c r="L5" s="573" t="s">
        <v>263</v>
      </c>
      <c r="M5" s="573" t="s">
        <v>264</v>
      </c>
      <c r="N5" s="573" t="s">
        <v>265</v>
      </c>
      <c r="O5" s="573" t="s">
        <v>266</v>
      </c>
      <c r="P5" s="573" t="s">
        <v>267</v>
      </c>
    </row>
    <row r="6" spans="1:31" s="121" customFormat="1" ht="14.5">
      <c r="A6" s="471">
        <v>2011</v>
      </c>
      <c r="B6" s="453" t="s">
        <v>231</v>
      </c>
      <c r="C6" s="282">
        <v>19.21</v>
      </c>
      <c r="D6" s="283">
        <v>19.75</v>
      </c>
      <c r="E6" s="284">
        <v>22.95</v>
      </c>
      <c r="F6" s="283">
        <v>13.77</v>
      </c>
      <c r="G6" s="284">
        <v>8</v>
      </c>
      <c r="H6" s="283">
        <v>41.91</v>
      </c>
      <c r="I6" s="284">
        <v>1.31</v>
      </c>
      <c r="J6" s="283">
        <v>11.16</v>
      </c>
      <c r="K6" s="284">
        <v>73.16</v>
      </c>
      <c r="L6" s="283">
        <v>46.3</v>
      </c>
      <c r="M6" s="284">
        <v>59.97</v>
      </c>
      <c r="N6" s="283">
        <v>68.040000000000006</v>
      </c>
      <c r="O6" s="284">
        <v>147.11000000000001</v>
      </c>
      <c r="P6" s="283">
        <v>32.479999999999997</v>
      </c>
      <c r="Q6" s="285"/>
      <c r="R6" s="285"/>
      <c r="S6" s="285"/>
      <c r="T6" s="285"/>
      <c r="U6" s="285"/>
      <c r="V6" s="285"/>
      <c r="W6" s="285"/>
      <c r="X6" s="285"/>
      <c r="Y6" s="285"/>
      <c r="Z6" s="285"/>
      <c r="AA6" s="285"/>
      <c r="AB6" s="285"/>
      <c r="AC6" s="285"/>
      <c r="AD6" s="285"/>
      <c r="AE6" s="285"/>
    </row>
    <row r="7" spans="1:31" s="121" customFormat="1" ht="14.5">
      <c r="A7" s="472"/>
      <c r="B7" s="450" t="s">
        <v>232</v>
      </c>
      <c r="C7" s="286">
        <v>20.12</v>
      </c>
      <c r="D7" s="287">
        <v>20.399999999999999</v>
      </c>
      <c r="E7" s="650">
        <v>8.43</v>
      </c>
      <c r="F7" s="287">
        <v>9.61</v>
      </c>
      <c r="G7" s="650">
        <v>3.28</v>
      </c>
      <c r="H7" s="287">
        <v>65.92</v>
      </c>
      <c r="I7" s="650">
        <v>1.43</v>
      </c>
      <c r="J7" s="287">
        <v>12.48</v>
      </c>
      <c r="K7" s="650">
        <v>73.099999999999994</v>
      </c>
      <c r="L7" s="287">
        <v>44.52</v>
      </c>
      <c r="M7" s="650">
        <v>62.62</v>
      </c>
      <c r="N7" s="287">
        <v>70.989999999999995</v>
      </c>
      <c r="O7" s="650">
        <v>159.63999999999999</v>
      </c>
      <c r="P7" s="287">
        <v>28.85</v>
      </c>
      <c r="Q7" s="285"/>
      <c r="R7" s="285"/>
      <c r="S7" s="285"/>
      <c r="T7" s="285"/>
      <c r="U7" s="285"/>
      <c r="V7" s="285"/>
      <c r="W7" s="285"/>
      <c r="X7" s="285"/>
      <c r="Y7" s="285"/>
      <c r="Z7" s="285"/>
      <c r="AA7" s="285"/>
      <c r="AB7" s="285"/>
      <c r="AC7" s="285"/>
      <c r="AD7" s="285"/>
    </row>
    <row r="8" spans="1:31" s="121" customFormat="1" ht="14.5">
      <c r="A8" s="472"/>
      <c r="B8" s="450" t="s">
        <v>233</v>
      </c>
      <c r="C8" s="286">
        <v>19.37</v>
      </c>
      <c r="D8" s="287">
        <v>19.95</v>
      </c>
      <c r="E8" s="650">
        <v>7.15</v>
      </c>
      <c r="F8" s="287">
        <v>8.9700000000000006</v>
      </c>
      <c r="G8" s="650">
        <v>2.73</v>
      </c>
      <c r="H8" s="287">
        <v>69.599999999999994</v>
      </c>
      <c r="I8" s="650">
        <v>1.18</v>
      </c>
      <c r="J8" s="287">
        <v>8.4499999999999993</v>
      </c>
      <c r="K8" s="650">
        <v>76.989999999999995</v>
      </c>
      <c r="L8" s="287">
        <v>47.81</v>
      </c>
      <c r="M8" s="650">
        <v>63.34</v>
      </c>
      <c r="N8" s="287">
        <v>71.319999999999993</v>
      </c>
      <c r="O8" s="650">
        <v>155.88</v>
      </c>
      <c r="P8" s="287">
        <v>27.74</v>
      </c>
      <c r="Q8" s="285"/>
      <c r="R8" s="285"/>
      <c r="S8" s="285"/>
      <c r="T8" s="285"/>
      <c r="U8" s="285"/>
      <c r="V8" s="285"/>
      <c r="W8" s="285"/>
      <c r="X8" s="285"/>
      <c r="Y8" s="285"/>
      <c r="Z8" s="285"/>
      <c r="AA8" s="285"/>
      <c r="AB8" s="285"/>
      <c r="AC8" s="285"/>
      <c r="AD8" s="285"/>
    </row>
    <row r="9" spans="1:31" s="121" customFormat="1" ht="14.5">
      <c r="A9" s="473"/>
      <c r="B9" s="452" t="s">
        <v>234</v>
      </c>
      <c r="C9" s="286">
        <v>18.829999999999998</v>
      </c>
      <c r="D9" s="287">
        <v>19.809999999999999</v>
      </c>
      <c r="E9" s="650">
        <v>4.92</v>
      </c>
      <c r="F9" s="287">
        <v>7.62</v>
      </c>
      <c r="G9" s="650">
        <v>1.8</v>
      </c>
      <c r="H9" s="287">
        <v>76.34</v>
      </c>
      <c r="I9" s="650">
        <v>1.1200000000000001</v>
      </c>
      <c r="J9" s="287">
        <v>7.94</v>
      </c>
      <c r="K9" s="650">
        <v>76.48</v>
      </c>
      <c r="L9" s="287">
        <v>49.31</v>
      </c>
      <c r="M9" s="650">
        <v>63.99</v>
      </c>
      <c r="N9" s="287">
        <v>71.56</v>
      </c>
      <c r="O9" s="650">
        <v>137.46</v>
      </c>
      <c r="P9" s="287">
        <v>26.9</v>
      </c>
      <c r="Q9" s="285"/>
      <c r="R9" s="285"/>
      <c r="S9" s="285"/>
      <c r="T9" s="285"/>
      <c r="U9" s="285"/>
      <c r="V9" s="285"/>
      <c r="W9" s="285"/>
      <c r="X9" s="285"/>
      <c r="Y9" s="285"/>
      <c r="Z9" s="285"/>
      <c r="AA9" s="285"/>
      <c r="AB9" s="285"/>
      <c r="AC9" s="285"/>
      <c r="AD9" s="285"/>
    </row>
    <row r="10" spans="1:31" s="121" customFormat="1" ht="14.5">
      <c r="A10" s="472">
        <v>2012</v>
      </c>
      <c r="B10" s="450" t="s">
        <v>231</v>
      </c>
      <c r="C10" s="282">
        <v>19.25</v>
      </c>
      <c r="D10" s="283">
        <v>20.010000000000002</v>
      </c>
      <c r="E10" s="284">
        <v>4.8499999999999996</v>
      </c>
      <c r="F10" s="283">
        <v>7.64</v>
      </c>
      <c r="G10" s="284">
        <v>1.91</v>
      </c>
      <c r="H10" s="283">
        <v>74.94</v>
      </c>
      <c r="I10" s="284">
        <v>1.44</v>
      </c>
      <c r="J10" s="283">
        <v>13.33</v>
      </c>
      <c r="K10" s="284">
        <v>72.81</v>
      </c>
      <c r="L10" s="283">
        <v>46.34</v>
      </c>
      <c r="M10" s="284">
        <v>64.069999999999993</v>
      </c>
      <c r="N10" s="283">
        <v>72</v>
      </c>
      <c r="O10" s="284">
        <v>142.5</v>
      </c>
      <c r="P10" s="283">
        <v>26.56</v>
      </c>
      <c r="Q10" s="285"/>
      <c r="R10" s="285"/>
      <c r="S10" s="285"/>
      <c r="T10" s="285"/>
      <c r="U10" s="285"/>
      <c r="V10" s="285"/>
      <c r="W10" s="285"/>
      <c r="X10" s="285"/>
      <c r="Y10" s="285"/>
      <c r="Z10" s="285"/>
      <c r="AA10" s="285"/>
      <c r="AB10" s="285"/>
      <c r="AC10" s="285"/>
      <c r="AD10" s="285"/>
    </row>
    <row r="11" spans="1:31" s="121" customFormat="1" ht="14.5">
      <c r="A11" s="472"/>
      <c r="B11" s="450" t="s">
        <v>232</v>
      </c>
      <c r="C11" s="286">
        <v>19.5</v>
      </c>
      <c r="D11" s="287">
        <v>20.170000000000002</v>
      </c>
      <c r="E11" s="650">
        <v>4.5999999999999996</v>
      </c>
      <c r="F11" s="287">
        <v>7.23</v>
      </c>
      <c r="G11" s="650">
        <v>1.82</v>
      </c>
      <c r="H11" s="287">
        <v>74.819999999999993</v>
      </c>
      <c r="I11" s="650">
        <v>1.39</v>
      </c>
      <c r="J11" s="287">
        <v>12.74</v>
      </c>
      <c r="K11" s="650">
        <v>73.8</v>
      </c>
      <c r="L11" s="287">
        <v>47.7</v>
      </c>
      <c r="M11" s="650">
        <v>63.6</v>
      </c>
      <c r="N11" s="287">
        <v>71.89</v>
      </c>
      <c r="O11" s="650">
        <v>149.22</v>
      </c>
      <c r="P11" s="287">
        <v>28.12</v>
      </c>
      <c r="Q11" s="285"/>
      <c r="R11" s="285"/>
      <c r="S11" s="285"/>
      <c r="T11" s="285"/>
      <c r="U11" s="285"/>
      <c r="V11" s="285"/>
      <c r="W11" s="285"/>
      <c r="X11" s="285"/>
      <c r="Y11" s="285"/>
      <c r="Z11" s="285"/>
      <c r="AA11" s="285"/>
      <c r="AB11" s="285"/>
      <c r="AC11" s="285"/>
      <c r="AD11" s="285"/>
    </row>
    <row r="12" spans="1:31" s="121" customFormat="1" ht="14.5">
      <c r="A12" s="472"/>
      <c r="B12" s="450" t="s">
        <v>233</v>
      </c>
      <c r="C12" s="286">
        <v>18.54</v>
      </c>
      <c r="D12" s="287">
        <v>19.3</v>
      </c>
      <c r="E12" s="650">
        <v>4.72</v>
      </c>
      <c r="F12" s="287">
        <v>7.03</v>
      </c>
      <c r="G12" s="650">
        <v>1.83</v>
      </c>
      <c r="H12" s="287">
        <v>73.930000000000007</v>
      </c>
      <c r="I12" s="650">
        <v>1.33</v>
      </c>
      <c r="J12" s="287">
        <v>12.03</v>
      </c>
      <c r="K12" s="650">
        <v>73.010000000000005</v>
      </c>
      <c r="L12" s="287">
        <v>48.33</v>
      </c>
      <c r="M12" s="650">
        <v>64.3</v>
      </c>
      <c r="N12" s="287">
        <v>72.599999999999994</v>
      </c>
      <c r="O12" s="650">
        <v>136.94999999999999</v>
      </c>
      <c r="P12" s="287">
        <v>28.61</v>
      </c>
      <c r="Q12" s="285"/>
      <c r="R12" s="285"/>
      <c r="S12" s="285"/>
      <c r="T12" s="285"/>
      <c r="U12" s="285"/>
      <c r="V12" s="285"/>
      <c r="W12" s="285"/>
      <c r="X12" s="285"/>
      <c r="Y12" s="285"/>
      <c r="Z12" s="285"/>
      <c r="AA12" s="285"/>
      <c r="AB12" s="285"/>
      <c r="AC12" s="285"/>
      <c r="AD12" s="285"/>
    </row>
    <row r="13" spans="1:31" s="121" customFormat="1" ht="14.5">
      <c r="A13" s="472"/>
      <c r="B13" s="450" t="s">
        <v>234</v>
      </c>
      <c r="C13" s="288">
        <v>20.85</v>
      </c>
      <c r="D13" s="289">
        <v>21.03</v>
      </c>
      <c r="E13" s="290">
        <v>4.3</v>
      </c>
      <c r="F13" s="289">
        <v>6.78</v>
      </c>
      <c r="G13" s="290">
        <v>1.61</v>
      </c>
      <c r="H13" s="289">
        <v>76.239999999999995</v>
      </c>
      <c r="I13" s="290">
        <v>0.83</v>
      </c>
      <c r="J13" s="289">
        <v>5.64</v>
      </c>
      <c r="K13" s="290">
        <v>71.290000000000006</v>
      </c>
      <c r="L13" s="289">
        <v>49.29</v>
      </c>
      <c r="M13" s="290">
        <v>62.16</v>
      </c>
      <c r="N13" s="289">
        <v>70.58</v>
      </c>
      <c r="O13" s="290">
        <v>143.82</v>
      </c>
      <c r="P13" s="289">
        <v>29.99</v>
      </c>
      <c r="Q13" s="285"/>
      <c r="R13" s="285"/>
      <c r="S13" s="285"/>
      <c r="T13" s="285"/>
      <c r="U13" s="285"/>
      <c r="V13" s="285"/>
      <c r="W13" s="285"/>
      <c r="X13" s="285"/>
      <c r="Y13" s="285"/>
      <c r="Z13" s="285"/>
      <c r="AA13" s="285"/>
      <c r="AB13" s="285"/>
      <c r="AC13" s="285"/>
      <c r="AD13" s="285"/>
    </row>
    <row r="14" spans="1:31" s="121" customFormat="1" ht="14.5">
      <c r="A14" s="471">
        <v>2013</v>
      </c>
      <c r="B14" s="453" t="s">
        <v>231</v>
      </c>
      <c r="C14" s="286">
        <v>19.38</v>
      </c>
      <c r="D14" s="287">
        <v>19.62</v>
      </c>
      <c r="E14" s="650">
        <v>4.2300000000000004</v>
      </c>
      <c r="F14" s="287">
        <v>6.83</v>
      </c>
      <c r="G14" s="650">
        <v>1.64</v>
      </c>
      <c r="H14" s="287">
        <v>75.989999999999995</v>
      </c>
      <c r="I14" s="650">
        <v>1.37</v>
      </c>
      <c r="J14" s="287">
        <v>12.26</v>
      </c>
      <c r="K14" s="650">
        <v>73.569999999999993</v>
      </c>
      <c r="L14" s="287">
        <v>47</v>
      </c>
      <c r="M14" s="650">
        <v>60.51</v>
      </c>
      <c r="N14" s="287">
        <v>68.260000000000005</v>
      </c>
      <c r="O14" s="650">
        <v>147.85</v>
      </c>
      <c r="P14" s="287">
        <v>28.58</v>
      </c>
      <c r="Q14" s="285"/>
      <c r="R14" s="285"/>
      <c r="S14" s="285"/>
      <c r="T14" s="285"/>
      <c r="U14" s="285"/>
      <c r="V14" s="285"/>
      <c r="W14" s="285"/>
      <c r="X14" s="285"/>
      <c r="Y14" s="285"/>
      <c r="Z14" s="285"/>
      <c r="AA14" s="285"/>
      <c r="AB14" s="285"/>
      <c r="AC14" s="285"/>
      <c r="AD14" s="285"/>
    </row>
    <row r="15" spans="1:31" s="121" customFormat="1" ht="14.5">
      <c r="A15" s="472"/>
      <c r="B15" s="450" t="s">
        <v>232</v>
      </c>
      <c r="C15" s="286">
        <v>19.36</v>
      </c>
      <c r="D15" s="287">
        <v>19.489999999999998</v>
      </c>
      <c r="E15" s="650">
        <v>4.84</v>
      </c>
      <c r="F15" s="287">
        <v>6.73</v>
      </c>
      <c r="G15" s="650">
        <v>1.84</v>
      </c>
      <c r="H15" s="287">
        <v>72.66</v>
      </c>
      <c r="I15" s="650">
        <v>1.29</v>
      </c>
      <c r="J15" s="287">
        <v>11.31</v>
      </c>
      <c r="K15" s="650">
        <v>73.11</v>
      </c>
      <c r="L15" s="287">
        <v>48.98</v>
      </c>
      <c r="M15" s="650">
        <v>59.88</v>
      </c>
      <c r="N15" s="287">
        <v>67.98</v>
      </c>
      <c r="O15" s="650">
        <v>147.63999999999999</v>
      </c>
      <c r="P15" s="287">
        <v>29.79</v>
      </c>
      <c r="Q15" s="285"/>
      <c r="R15" s="285"/>
      <c r="S15" s="285"/>
      <c r="T15" s="285"/>
      <c r="U15" s="285"/>
      <c r="V15" s="285"/>
      <c r="W15" s="285"/>
      <c r="X15" s="285"/>
      <c r="Y15" s="285"/>
      <c r="Z15" s="285"/>
      <c r="AA15" s="285"/>
      <c r="AB15" s="285"/>
      <c r="AC15" s="285"/>
      <c r="AD15" s="285"/>
    </row>
    <row r="16" spans="1:31" s="121" customFormat="1" ht="14.5">
      <c r="A16" s="472"/>
      <c r="B16" s="450" t="s">
        <v>233</v>
      </c>
      <c r="C16" s="286">
        <v>18.97</v>
      </c>
      <c r="D16" s="287">
        <v>19.57</v>
      </c>
      <c r="E16" s="650">
        <v>5.26</v>
      </c>
      <c r="F16" s="287">
        <v>6.78</v>
      </c>
      <c r="G16" s="650">
        <v>1.94</v>
      </c>
      <c r="H16" s="287">
        <v>71.38</v>
      </c>
      <c r="I16" s="650">
        <v>1.28</v>
      </c>
      <c r="J16" s="287">
        <v>9.93</v>
      </c>
      <c r="K16" s="650">
        <v>72.900000000000006</v>
      </c>
      <c r="L16" s="287">
        <v>48.96</v>
      </c>
      <c r="M16" s="650">
        <v>57.98</v>
      </c>
      <c r="N16" s="287">
        <v>66.33</v>
      </c>
      <c r="O16" s="650">
        <v>119.94</v>
      </c>
      <c r="P16" s="287">
        <v>31.34</v>
      </c>
      <c r="Q16" s="285"/>
      <c r="R16" s="285"/>
      <c r="S16" s="285"/>
      <c r="T16" s="285"/>
      <c r="U16" s="285"/>
      <c r="V16" s="285"/>
      <c r="W16" s="285"/>
      <c r="X16" s="285"/>
      <c r="Y16" s="285"/>
      <c r="Z16" s="285"/>
      <c r="AA16" s="285"/>
      <c r="AB16" s="285"/>
      <c r="AC16" s="285"/>
      <c r="AD16" s="285"/>
    </row>
    <row r="17" spans="1:30" s="121" customFormat="1" ht="14.5">
      <c r="A17" s="473"/>
      <c r="B17" s="452" t="s">
        <v>234</v>
      </c>
      <c r="C17" s="286">
        <v>20.420000000000002</v>
      </c>
      <c r="D17" s="287">
        <v>21.18</v>
      </c>
      <c r="E17" s="650">
        <v>4.47</v>
      </c>
      <c r="F17" s="287">
        <v>5.67</v>
      </c>
      <c r="G17" s="650">
        <v>1.65</v>
      </c>
      <c r="H17" s="287">
        <v>70.900000000000006</v>
      </c>
      <c r="I17" s="650">
        <v>1.32</v>
      </c>
      <c r="J17" s="287">
        <v>10.16</v>
      </c>
      <c r="K17" s="650">
        <v>73.2</v>
      </c>
      <c r="L17" s="287">
        <v>49.01</v>
      </c>
      <c r="M17" s="650">
        <v>56.18</v>
      </c>
      <c r="N17" s="287">
        <v>64.95</v>
      </c>
      <c r="O17" s="650">
        <v>113.07</v>
      </c>
      <c r="P17" s="287">
        <v>33.58</v>
      </c>
      <c r="Q17" s="285"/>
      <c r="R17" s="285"/>
      <c r="S17" s="285"/>
      <c r="T17" s="285"/>
      <c r="U17" s="285"/>
      <c r="V17" s="285"/>
      <c r="W17" s="285"/>
      <c r="X17" s="285"/>
      <c r="Y17" s="285"/>
      <c r="Z17" s="285"/>
      <c r="AA17" s="285"/>
      <c r="AB17" s="285"/>
      <c r="AC17" s="285"/>
      <c r="AD17" s="285"/>
    </row>
    <row r="18" spans="1:30" s="121" customFormat="1" ht="14.5">
      <c r="A18" s="471">
        <v>2014</v>
      </c>
      <c r="B18" s="453" t="s">
        <v>231</v>
      </c>
      <c r="C18" s="282">
        <v>21.08</v>
      </c>
      <c r="D18" s="283">
        <v>21.36</v>
      </c>
      <c r="E18" s="283">
        <v>4.3899999999999997</v>
      </c>
      <c r="F18" s="283">
        <v>5.67</v>
      </c>
      <c r="G18" s="284">
        <v>1.71</v>
      </c>
      <c r="H18" s="283">
        <v>69.900000000000006</v>
      </c>
      <c r="I18" s="284">
        <v>1.47</v>
      </c>
      <c r="J18" s="283">
        <v>10.4</v>
      </c>
      <c r="K18" s="284">
        <v>75.180000000000007</v>
      </c>
      <c r="L18" s="283">
        <v>52.77</v>
      </c>
      <c r="M18" s="284">
        <v>58.04</v>
      </c>
      <c r="N18" s="283">
        <v>67.150000000000006</v>
      </c>
      <c r="O18" s="284">
        <v>107.06</v>
      </c>
      <c r="P18" s="283">
        <v>32.93</v>
      </c>
      <c r="Q18" s="285"/>
      <c r="R18" s="285"/>
      <c r="S18" s="285"/>
      <c r="T18" s="285"/>
      <c r="U18" s="285"/>
      <c r="V18" s="285"/>
      <c r="W18" s="285"/>
      <c r="X18" s="285"/>
      <c r="Y18" s="285"/>
      <c r="Z18" s="285"/>
      <c r="AA18" s="285"/>
      <c r="AB18" s="285"/>
      <c r="AC18" s="285"/>
      <c r="AD18" s="285"/>
    </row>
    <row r="19" spans="1:30" s="121" customFormat="1" ht="14.5">
      <c r="A19" s="472"/>
      <c r="B19" s="450" t="s">
        <v>232</v>
      </c>
      <c r="C19" s="286">
        <v>19.260000000000002</v>
      </c>
      <c r="D19" s="287">
        <v>19.82</v>
      </c>
      <c r="E19" s="287">
        <v>5.53</v>
      </c>
      <c r="F19" s="287">
        <v>6.2</v>
      </c>
      <c r="G19" s="650">
        <v>2.11</v>
      </c>
      <c r="H19" s="287">
        <v>66.02</v>
      </c>
      <c r="I19" s="650">
        <v>1.29</v>
      </c>
      <c r="J19" s="287">
        <v>9.24</v>
      </c>
      <c r="K19" s="650">
        <v>74.680000000000007</v>
      </c>
      <c r="L19" s="287">
        <v>50.72</v>
      </c>
      <c r="M19" s="650">
        <v>56.64</v>
      </c>
      <c r="N19" s="287">
        <v>64.77</v>
      </c>
      <c r="O19" s="650">
        <v>128.05000000000001</v>
      </c>
      <c r="P19" s="287">
        <v>33.14</v>
      </c>
      <c r="Q19" s="285"/>
      <c r="R19" s="285"/>
      <c r="S19" s="285"/>
      <c r="T19" s="285"/>
      <c r="U19" s="285"/>
      <c r="V19" s="285"/>
      <c r="W19" s="285"/>
      <c r="X19" s="285"/>
      <c r="Y19" s="285"/>
      <c r="Z19" s="285"/>
      <c r="AA19" s="285"/>
      <c r="AB19" s="285"/>
      <c r="AC19" s="285"/>
      <c r="AD19" s="285"/>
    </row>
    <row r="20" spans="1:30" s="121" customFormat="1" ht="14.5">
      <c r="A20" s="472"/>
      <c r="B20" s="450" t="s">
        <v>233</v>
      </c>
      <c r="C20" s="286">
        <v>19.29</v>
      </c>
      <c r="D20" s="287">
        <v>19.600000000000001</v>
      </c>
      <c r="E20" s="287">
        <v>4.67</v>
      </c>
      <c r="F20" s="287">
        <v>5.73</v>
      </c>
      <c r="G20" s="650">
        <v>1.74</v>
      </c>
      <c r="H20" s="287">
        <v>69.599999999999994</v>
      </c>
      <c r="I20" s="650">
        <v>1.32</v>
      </c>
      <c r="J20" s="287">
        <v>9.68</v>
      </c>
      <c r="K20" s="650">
        <v>73.53</v>
      </c>
      <c r="L20" s="287">
        <v>51.41</v>
      </c>
      <c r="M20" s="650">
        <v>55.06</v>
      </c>
      <c r="N20" s="287">
        <v>63.14</v>
      </c>
      <c r="O20" s="650">
        <v>108.95</v>
      </c>
      <c r="P20" s="287">
        <v>34.020000000000003</v>
      </c>
      <c r="Q20" s="285"/>
      <c r="R20" s="285"/>
      <c r="S20" s="285"/>
      <c r="T20" s="285"/>
      <c r="U20" s="285"/>
      <c r="V20" s="285"/>
      <c r="W20" s="285"/>
      <c r="X20" s="285"/>
      <c r="Y20" s="285"/>
      <c r="Z20" s="285"/>
      <c r="AA20" s="285"/>
      <c r="AB20" s="285"/>
      <c r="AC20" s="285"/>
      <c r="AD20" s="285"/>
    </row>
    <row r="21" spans="1:30" s="121" customFormat="1" ht="14.5">
      <c r="A21" s="472"/>
      <c r="B21" s="450" t="s">
        <v>234</v>
      </c>
      <c r="C21" s="286">
        <v>21.01</v>
      </c>
      <c r="D21" s="287">
        <v>22.11</v>
      </c>
      <c r="E21" s="289">
        <v>6.18</v>
      </c>
      <c r="F21" s="289">
        <v>5.03</v>
      </c>
      <c r="G21" s="650">
        <v>2.2999999999999998</v>
      </c>
      <c r="H21" s="289">
        <v>54.2</v>
      </c>
      <c r="I21" s="650">
        <v>1.37</v>
      </c>
      <c r="J21" s="287">
        <v>10.09</v>
      </c>
      <c r="K21" s="650">
        <v>76.37</v>
      </c>
      <c r="L21" s="287">
        <v>50.01</v>
      </c>
      <c r="M21" s="650">
        <v>53.88</v>
      </c>
      <c r="N21" s="287">
        <v>62.85</v>
      </c>
      <c r="O21" s="650">
        <v>122.13</v>
      </c>
      <c r="P21" s="287">
        <v>35.68</v>
      </c>
      <c r="Q21" s="285"/>
      <c r="R21" s="285"/>
      <c r="S21" s="285"/>
      <c r="T21" s="285"/>
      <c r="U21" s="285"/>
      <c r="V21" s="285"/>
      <c r="W21" s="285"/>
      <c r="X21" s="285"/>
      <c r="Y21" s="285"/>
      <c r="Z21" s="285"/>
      <c r="AA21" s="285"/>
      <c r="AB21" s="285"/>
      <c r="AC21" s="285"/>
      <c r="AD21" s="285"/>
    </row>
    <row r="22" spans="1:30" s="121" customFormat="1" ht="14.5">
      <c r="A22" s="471">
        <v>2015</v>
      </c>
      <c r="B22" s="454" t="s">
        <v>231</v>
      </c>
      <c r="C22" s="283">
        <v>20.95</v>
      </c>
      <c r="D22" s="284">
        <v>21.45</v>
      </c>
      <c r="E22" s="282">
        <v>4.12</v>
      </c>
      <c r="F22" s="283">
        <v>4.6900000000000004</v>
      </c>
      <c r="G22" s="291">
        <v>1.57</v>
      </c>
      <c r="H22" s="291">
        <v>66.39</v>
      </c>
      <c r="I22" s="283">
        <v>1.1299999999999999</v>
      </c>
      <c r="J22" s="283">
        <v>7.91</v>
      </c>
      <c r="K22" s="283">
        <v>78.41</v>
      </c>
      <c r="L22" s="284">
        <v>55.37</v>
      </c>
      <c r="M22" s="283">
        <v>52.17</v>
      </c>
      <c r="N22" s="283">
        <v>61.31</v>
      </c>
      <c r="O22" s="283">
        <v>110.58</v>
      </c>
      <c r="P22" s="283">
        <v>36.119999999999997</v>
      </c>
      <c r="Q22" s="285"/>
      <c r="R22" s="285"/>
      <c r="S22" s="285"/>
      <c r="T22" s="285"/>
      <c r="U22" s="285"/>
      <c r="V22" s="285"/>
      <c r="W22" s="285"/>
      <c r="X22" s="285"/>
      <c r="Y22" s="285"/>
      <c r="Z22" s="285"/>
      <c r="AA22" s="285"/>
      <c r="AB22" s="285"/>
      <c r="AC22" s="285"/>
      <c r="AD22" s="285"/>
    </row>
    <row r="23" spans="1:30" s="121" customFormat="1" ht="14.5">
      <c r="A23" s="472"/>
      <c r="B23" s="455" t="s">
        <v>232</v>
      </c>
      <c r="C23" s="287">
        <v>20.81</v>
      </c>
      <c r="D23" s="650">
        <v>21.42</v>
      </c>
      <c r="E23" s="286">
        <v>3.89</v>
      </c>
      <c r="F23" s="287">
        <v>3.98</v>
      </c>
      <c r="G23" s="292">
        <v>1.44</v>
      </c>
      <c r="H23" s="292">
        <v>63.87</v>
      </c>
      <c r="I23" s="287">
        <v>1.4</v>
      </c>
      <c r="J23" s="287">
        <v>9.49</v>
      </c>
      <c r="K23" s="287">
        <v>70.5</v>
      </c>
      <c r="L23" s="650">
        <v>50.2</v>
      </c>
      <c r="M23" s="287">
        <v>48.24</v>
      </c>
      <c r="N23" s="287">
        <v>56.42</v>
      </c>
      <c r="O23" s="287">
        <v>95.35</v>
      </c>
      <c r="P23" s="287">
        <v>39.24</v>
      </c>
      <c r="Q23" s="285"/>
      <c r="R23" s="285"/>
      <c r="S23" s="285"/>
      <c r="T23" s="285"/>
      <c r="U23" s="285"/>
      <c r="V23" s="285"/>
      <c r="W23" s="285"/>
      <c r="X23" s="285"/>
      <c r="Y23" s="285"/>
      <c r="Z23" s="285"/>
      <c r="AA23" s="285"/>
      <c r="AB23" s="285"/>
      <c r="AC23" s="285"/>
      <c r="AD23" s="285"/>
    </row>
    <row r="24" spans="1:30" s="121" customFormat="1" ht="14.5">
      <c r="A24" s="472"/>
      <c r="B24" s="455" t="s">
        <v>233</v>
      </c>
      <c r="C24" s="287">
        <v>21.07</v>
      </c>
      <c r="D24" s="650">
        <v>21.78</v>
      </c>
      <c r="E24" s="286">
        <v>4.38</v>
      </c>
      <c r="F24" s="287">
        <v>4.2300000000000004</v>
      </c>
      <c r="G24" s="292">
        <v>1.61</v>
      </c>
      <c r="H24" s="292">
        <v>62.03</v>
      </c>
      <c r="I24" s="287">
        <v>1.32</v>
      </c>
      <c r="J24" s="287">
        <v>8.9600000000000009</v>
      </c>
      <c r="K24" s="287">
        <v>71.650000000000006</v>
      </c>
      <c r="L24" s="650">
        <v>50.82</v>
      </c>
      <c r="M24" s="287">
        <v>48.55</v>
      </c>
      <c r="N24" s="287">
        <v>57.09</v>
      </c>
      <c r="O24" s="287">
        <v>97.9</v>
      </c>
      <c r="P24" s="287">
        <v>39.85</v>
      </c>
      <c r="Q24" s="285"/>
      <c r="R24" s="285"/>
      <c r="S24" s="285"/>
      <c r="T24" s="285"/>
      <c r="U24" s="285"/>
      <c r="V24" s="285"/>
      <c r="W24" s="285"/>
      <c r="X24" s="285"/>
      <c r="Y24" s="285"/>
      <c r="Z24" s="285"/>
      <c r="AA24" s="285"/>
      <c r="AB24" s="285"/>
      <c r="AC24" s="285"/>
      <c r="AD24" s="285"/>
    </row>
    <row r="25" spans="1:30" s="121" customFormat="1" ht="14.5">
      <c r="A25" s="473"/>
      <c r="B25" s="456" t="s">
        <v>234</v>
      </c>
      <c r="C25" s="289">
        <v>21.74</v>
      </c>
      <c r="D25" s="290">
        <v>22.94</v>
      </c>
      <c r="E25" s="288">
        <v>6.06</v>
      </c>
      <c r="F25" s="289">
        <v>4.9000000000000004</v>
      </c>
      <c r="G25" s="293">
        <v>2.2000000000000002</v>
      </c>
      <c r="H25" s="293">
        <v>55.21</v>
      </c>
      <c r="I25" s="289">
        <v>1.31</v>
      </c>
      <c r="J25" s="289">
        <v>8.68</v>
      </c>
      <c r="K25" s="289">
        <v>71.84</v>
      </c>
      <c r="L25" s="290">
        <v>52.39</v>
      </c>
      <c r="M25" s="289">
        <v>45.52</v>
      </c>
      <c r="N25" s="289">
        <v>54.46</v>
      </c>
      <c r="O25" s="289">
        <v>93.04</v>
      </c>
      <c r="P25" s="289">
        <v>42.93</v>
      </c>
      <c r="Q25" s="285"/>
      <c r="R25" s="285"/>
      <c r="S25" s="285"/>
      <c r="T25" s="285"/>
      <c r="U25" s="285"/>
      <c r="V25" s="285"/>
      <c r="W25" s="285"/>
      <c r="X25" s="285"/>
      <c r="Y25" s="285"/>
      <c r="Z25" s="285"/>
      <c r="AA25" s="285"/>
      <c r="AB25" s="285"/>
      <c r="AC25" s="285"/>
      <c r="AD25" s="285"/>
    </row>
    <row r="26" spans="1:30" s="121" customFormat="1" ht="14.5">
      <c r="A26" s="471">
        <v>2016</v>
      </c>
      <c r="B26" s="453" t="s">
        <v>231</v>
      </c>
      <c r="C26" s="283">
        <v>20.51</v>
      </c>
      <c r="D26" s="283">
        <v>22.3</v>
      </c>
      <c r="E26" s="283">
        <v>4.3899999999999997</v>
      </c>
      <c r="F26" s="283">
        <v>4.67</v>
      </c>
      <c r="G26" s="283">
        <v>1.6</v>
      </c>
      <c r="H26" s="283">
        <v>65.77</v>
      </c>
      <c r="I26" s="283">
        <v>1.28</v>
      </c>
      <c r="J26" s="283">
        <v>7.82</v>
      </c>
      <c r="K26" s="283">
        <v>73.63</v>
      </c>
      <c r="L26" s="283">
        <v>51.2</v>
      </c>
      <c r="M26" s="283">
        <v>46.06</v>
      </c>
      <c r="N26" s="283">
        <v>54.29</v>
      </c>
      <c r="O26" s="283">
        <v>93.52</v>
      </c>
      <c r="P26" s="283">
        <v>41.45</v>
      </c>
      <c r="Q26" s="285"/>
      <c r="R26" s="285"/>
      <c r="S26" s="285"/>
      <c r="T26" s="285"/>
      <c r="U26" s="285"/>
      <c r="V26" s="285"/>
      <c r="W26" s="285"/>
      <c r="X26" s="285"/>
      <c r="Y26" s="285"/>
      <c r="Z26" s="285"/>
      <c r="AA26" s="285"/>
      <c r="AB26" s="285"/>
      <c r="AC26" s="285"/>
      <c r="AD26" s="285"/>
    </row>
    <row r="27" spans="1:30" s="121" customFormat="1" ht="14.5">
      <c r="A27" s="472"/>
      <c r="B27" s="450" t="s">
        <v>232</v>
      </c>
      <c r="C27" s="287">
        <v>20.85</v>
      </c>
      <c r="D27" s="287">
        <v>22.54</v>
      </c>
      <c r="E27" s="287">
        <v>4.3</v>
      </c>
      <c r="F27" s="287">
        <v>4.53</v>
      </c>
      <c r="G27" s="287">
        <v>1.64</v>
      </c>
      <c r="H27" s="287">
        <v>63.8</v>
      </c>
      <c r="I27" s="287">
        <v>1.92</v>
      </c>
      <c r="J27" s="287">
        <v>12.7</v>
      </c>
      <c r="K27" s="287">
        <v>60.91</v>
      </c>
      <c r="L27" s="287">
        <v>42.09</v>
      </c>
      <c r="M27" s="287">
        <v>44.75</v>
      </c>
      <c r="N27" s="287">
        <v>53.41</v>
      </c>
      <c r="O27" s="287">
        <v>94.81</v>
      </c>
      <c r="P27" s="287">
        <v>41.63</v>
      </c>
      <c r="Q27" s="285"/>
      <c r="R27" s="285"/>
      <c r="S27" s="285"/>
      <c r="T27" s="285"/>
      <c r="U27" s="285"/>
      <c r="V27" s="285"/>
      <c r="W27" s="285"/>
      <c r="X27" s="285"/>
      <c r="Y27" s="285"/>
      <c r="Z27" s="285"/>
      <c r="AA27" s="285"/>
      <c r="AB27" s="285"/>
      <c r="AC27" s="285"/>
      <c r="AD27" s="285"/>
    </row>
    <row r="28" spans="1:30" s="121" customFormat="1" ht="14.5">
      <c r="A28" s="472"/>
      <c r="B28" s="450" t="s">
        <v>233</v>
      </c>
      <c r="C28" s="287">
        <v>20.49</v>
      </c>
      <c r="D28" s="287">
        <v>21.95</v>
      </c>
      <c r="E28" s="287">
        <v>5.51</v>
      </c>
      <c r="F28" s="287">
        <v>5.43</v>
      </c>
      <c r="G28" s="287">
        <v>2.14</v>
      </c>
      <c r="H28" s="287">
        <v>60.51</v>
      </c>
      <c r="I28" s="287">
        <v>1.1000000000000001</v>
      </c>
      <c r="J28" s="287">
        <v>6.97</v>
      </c>
      <c r="K28" s="287">
        <v>65.290000000000006</v>
      </c>
      <c r="L28" s="287">
        <v>49.97</v>
      </c>
      <c r="M28" s="287">
        <v>50.95</v>
      </c>
      <c r="N28" s="287">
        <v>61.73</v>
      </c>
      <c r="O28" s="287">
        <v>123.45</v>
      </c>
      <c r="P28" s="287">
        <v>37.659999999999997</v>
      </c>
      <c r="Q28" s="285"/>
      <c r="R28" s="285"/>
      <c r="S28" s="285"/>
      <c r="T28" s="285"/>
      <c r="U28" s="285"/>
      <c r="V28" s="285"/>
      <c r="W28" s="285"/>
      <c r="X28" s="285"/>
      <c r="Y28" s="285"/>
      <c r="Z28" s="285"/>
      <c r="AA28" s="285"/>
      <c r="AB28" s="285"/>
      <c r="AC28" s="285"/>
      <c r="AD28" s="285"/>
    </row>
    <row r="29" spans="1:30" s="121" customFormat="1" ht="14.5">
      <c r="A29" s="473"/>
      <c r="B29" s="452" t="s">
        <v>234</v>
      </c>
      <c r="C29" s="289">
        <v>21.51</v>
      </c>
      <c r="D29" s="289">
        <v>23.17</v>
      </c>
      <c r="E29" s="289">
        <v>7.82</v>
      </c>
      <c r="F29" s="289">
        <v>5.88</v>
      </c>
      <c r="G29" s="289">
        <v>3.34</v>
      </c>
      <c r="H29" s="289">
        <v>43.27</v>
      </c>
      <c r="I29" s="289">
        <v>1</v>
      </c>
      <c r="J29" s="289">
        <v>6.45</v>
      </c>
      <c r="K29" s="289">
        <v>66.7</v>
      </c>
      <c r="L29" s="289">
        <v>53.58</v>
      </c>
      <c r="M29" s="289">
        <v>50.42</v>
      </c>
      <c r="N29" s="289">
        <v>59.97</v>
      </c>
      <c r="O29" s="289">
        <v>114.99</v>
      </c>
      <c r="P29" s="289">
        <v>35.799999999999997</v>
      </c>
      <c r="Q29" s="285"/>
      <c r="R29" s="285"/>
      <c r="S29" s="285"/>
      <c r="T29" s="285"/>
      <c r="U29" s="285"/>
      <c r="V29" s="285"/>
      <c r="W29" s="285"/>
      <c r="X29" s="285"/>
      <c r="Y29" s="285"/>
      <c r="Z29" s="285"/>
      <c r="AA29" s="285"/>
      <c r="AB29" s="285"/>
      <c r="AC29" s="285"/>
      <c r="AD29" s="285"/>
    </row>
    <row r="30" spans="1:30" s="121" customFormat="1" ht="14.5">
      <c r="A30" s="471">
        <v>2017</v>
      </c>
      <c r="B30" s="453" t="s">
        <v>231</v>
      </c>
      <c r="C30" s="287">
        <v>23.13</v>
      </c>
      <c r="D30" s="287">
        <v>22.36</v>
      </c>
      <c r="E30" s="283">
        <v>6.42</v>
      </c>
      <c r="F30" s="283">
        <v>5.75</v>
      </c>
      <c r="G30" s="283">
        <v>2.84</v>
      </c>
      <c r="H30" s="283">
        <v>50.61</v>
      </c>
      <c r="I30" s="283">
        <v>0.82</v>
      </c>
      <c r="J30" s="283">
        <v>4.54</v>
      </c>
      <c r="K30" s="283">
        <v>83.51</v>
      </c>
      <c r="L30" s="283">
        <v>55.91</v>
      </c>
      <c r="M30" s="283">
        <v>48.9</v>
      </c>
      <c r="N30" s="283">
        <v>58.06</v>
      </c>
      <c r="O30" s="283">
        <v>98.57</v>
      </c>
      <c r="P30" s="283">
        <v>36.72</v>
      </c>
      <c r="Q30" s="285"/>
      <c r="R30" s="285"/>
      <c r="S30" s="285"/>
      <c r="T30" s="285"/>
      <c r="U30" s="285"/>
      <c r="V30" s="285"/>
      <c r="W30" s="285"/>
      <c r="X30" s="285"/>
      <c r="Y30" s="285"/>
      <c r="Z30" s="285"/>
      <c r="AA30" s="285"/>
      <c r="AB30" s="285"/>
      <c r="AC30" s="285"/>
      <c r="AD30" s="285"/>
    </row>
    <row r="31" spans="1:30" s="121" customFormat="1" ht="14.5">
      <c r="A31" s="472"/>
      <c r="B31" s="450" t="s">
        <v>232</v>
      </c>
      <c r="C31" s="287">
        <v>23.11</v>
      </c>
      <c r="D31" s="287">
        <v>22.6</v>
      </c>
      <c r="E31" s="287">
        <v>4.71</v>
      </c>
      <c r="F31" s="287">
        <v>5.3</v>
      </c>
      <c r="G31" s="287">
        <v>2.19</v>
      </c>
      <c r="H31" s="287">
        <v>58.72</v>
      </c>
      <c r="I31" s="287">
        <v>2.13</v>
      </c>
      <c r="J31" s="287">
        <v>13.8</v>
      </c>
      <c r="K31" s="287">
        <v>61.05</v>
      </c>
      <c r="L31" s="287">
        <v>41.42</v>
      </c>
      <c r="M31" s="287">
        <v>52.96</v>
      </c>
      <c r="N31" s="287">
        <v>63.24</v>
      </c>
      <c r="O31" s="287">
        <v>113.02</v>
      </c>
      <c r="P31" s="287">
        <v>36.01</v>
      </c>
      <c r="Q31" s="285"/>
      <c r="R31" s="285"/>
      <c r="S31" s="285"/>
      <c r="T31" s="285"/>
      <c r="U31" s="285"/>
      <c r="V31" s="285"/>
      <c r="W31" s="285"/>
      <c r="X31" s="285"/>
      <c r="Y31" s="285"/>
      <c r="Z31" s="285"/>
      <c r="AA31" s="285"/>
      <c r="AB31" s="285"/>
      <c r="AC31" s="285"/>
      <c r="AD31" s="285"/>
    </row>
    <row r="32" spans="1:30" s="121" customFormat="1" ht="14.5">
      <c r="A32" s="472"/>
      <c r="B32" s="450" t="s">
        <v>233</v>
      </c>
      <c r="C32" s="287">
        <v>19.649999999999999</v>
      </c>
      <c r="D32" s="287">
        <v>19.03</v>
      </c>
      <c r="E32" s="287">
        <v>6.02</v>
      </c>
      <c r="F32" s="287">
        <v>5.29</v>
      </c>
      <c r="G32" s="287">
        <v>2.41</v>
      </c>
      <c r="H32" s="287">
        <v>54.33</v>
      </c>
      <c r="I32" s="287">
        <v>1.71</v>
      </c>
      <c r="J32" s="287">
        <v>11.45</v>
      </c>
      <c r="K32" s="287">
        <v>66.930000000000007</v>
      </c>
      <c r="L32" s="287">
        <v>45.22</v>
      </c>
      <c r="M32" s="287">
        <v>51.82</v>
      </c>
      <c r="N32" s="287">
        <v>61.38</v>
      </c>
      <c r="O32" s="287">
        <v>116.73</v>
      </c>
      <c r="P32" s="287">
        <v>35.369999999999997</v>
      </c>
      <c r="Q32" s="285"/>
      <c r="R32" s="285"/>
      <c r="S32" s="285"/>
      <c r="T32" s="285"/>
      <c r="U32" s="285"/>
      <c r="V32" s="285"/>
      <c r="W32" s="285"/>
      <c r="X32" s="285"/>
      <c r="Y32" s="285"/>
      <c r="Z32" s="285"/>
      <c r="AA32" s="285"/>
      <c r="AB32" s="285"/>
      <c r="AC32" s="285"/>
      <c r="AD32" s="285"/>
    </row>
    <row r="33" spans="1:30" s="121" customFormat="1" ht="14.5">
      <c r="A33" s="472"/>
      <c r="B33" s="450" t="s">
        <v>233</v>
      </c>
      <c r="C33" s="287">
        <v>18.86</v>
      </c>
      <c r="D33" s="287">
        <v>18.18</v>
      </c>
      <c r="E33" s="287">
        <v>4.3600000000000003</v>
      </c>
      <c r="F33" s="287">
        <v>4.4000000000000004</v>
      </c>
      <c r="G33" s="287">
        <v>1.64</v>
      </c>
      <c r="H33" s="287">
        <v>62.77</v>
      </c>
      <c r="I33" s="287">
        <v>1.35</v>
      </c>
      <c r="J33" s="287">
        <v>8.8800000000000008</v>
      </c>
      <c r="K33" s="287">
        <v>65.040000000000006</v>
      </c>
      <c r="L33" s="287">
        <v>51.48</v>
      </c>
      <c r="M33" s="287">
        <v>51.01</v>
      </c>
      <c r="N33" s="287">
        <v>60.03</v>
      </c>
      <c r="O33" s="287">
        <v>115.17</v>
      </c>
      <c r="P33" s="287">
        <v>34.520000000000003</v>
      </c>
      <c r="Q33" s="285"/>
      <c r="R33" s="285"/>
      <c r="S33" s="285"/>
      <c r="T33" s="285"/>
      <c r="U33" s="285"/>
      <c r="V33" s="285"/>
      <c r="W33" s="285"/>
      <c r="X33" s="285"/>
      <c r="Y33" s="285"/>
      <c r="Z33" s="285"/>
      <c r="AA33" s="285"/>
      <c r="AB33" s="285"/>
      <c r="AC33" s="285"/>
      <c r="AD33" s="285"/>
    </row>
    <row r="34" spans="1:30" s="121" customFormat="1" ht="14.5">
      <c r="A34" s="471">
        <v>2018</v>
      </c>
      <c r="B34" s="454" t="s">
        <v>231</v>
      </c>
      <c r="C34" s="284">
        <v>19.86</v>
      </c>
      <c r="D34" s="283">
        <v>19.39</v>
      </c>
      <c r="E34" s="283">
        <v>5.6</v>
      </c>
      <c r="F34" s="283">
        <v>5.13</v>
      </c>
      <c r="G34" s="283">
        <v>2.1</v>
      </c>
      <c r="H34" s="283">
        <v>58.96</v>
      </c>
      <c r="I34" s="283">
        <v>1.22</v>
      </c>
      <c r="J34" s="283">
        <v>8.64</v>
      </c>
      <c r="K34" s="283">
        <v>85.31</v>
      </c>
      <c r="L34" s="283">
        <v>53.42</v>
      </c>
      <c r="M34" s="283">
        <v>48.94</v>
      </c>
      <c r="N34" s="283">
        <v>57.11</v>
      </c>
      <c r="O34" s="283">
        <v>98.48</v>
      </c>
      <c r="P34" s="291">
        <v>34.89</v>
      </c>
      <c r="Q34" s="285"/>
      <c r="R34" s="285"/>
      <c r="S34" s="285"/>
      <c r="T34" s="285"/>
      <c r="U34" s="285"/>
      <c r="V34" s="285"/>
      <c r="W34" s="285"/>
      <c r="X34" s="285"/>
      <c r="Y34" s="285"/>
      <c r="Z34" s="285"/>
      <c r="AA34" s="285"/>
      <c r="AB34" s="285"/>
      <c r="AC34" s="285"/>
      <c r="AD34" s="285"/>
    </row>
    <row r="35" spans="1:30" s="121" customFormat="1" ht="14.5">
      <c r="A35" s="472"/>
      <c r="B35" s="455" t="s">
        <v>232</v>
      </c>
      <c r="C35" s="650">
        <v>18.86</v>
      </c>
      <c r="D35" s="287">
        <v>18.36</v>
      </c>
      <c r="E35" s="287">
        <v>6.23</v>
      </c>
      <c r="F35" s="287">
        <v>5.18</v>
      </c>
      <c r="G35" s="287">
        <v>2.25</v>
      </c>
      <c r="H35" s="287">
        <v>56.61</v>
      </c>
      <c r="I35" s="287">
        <v>1.0900000000000001</v>
      </c>
      <c r="J35" s="287">
        <v>7.36</v>
      </c>
      <c r="K35" s="287">
        <v>86.89</v>
      </c>
      <c r="L35" s="287">
        <v>54.24</v>
      </c>
      <c r="M35" s="287">
        <v>49.16</v>
      </c>
      <c r="N35" s="287">
        <v>58.28</v>
      </c>
      <c r="O35" s="287">
        <v>100.88</v>
      </c>
      <c r="P35" s="292">
        <v>36.090000000000003</v>
      </c>
      <c r="Q35" s="285"/>
      <c r="R35" s="285"/>
      <c r="S35" s="285"/>
      <c r="T35" s="285"/>
      <c r="U35" s="285"/>
      <c r="V35" s="285"/>
      <c r="W35" s="285"/>
      <c r="X35" s="285"/>
      <c r="Y35" s="285"/>
      <c r="Z35" s="285"/>
      <c r="AA35" s="285"/>
      <c r="AB35" s="285"/>
      <c r="AC35" s="285"/>
      <c r="AD35" s="285"/>
    </row>
    <row r="36" spans="1:30" s="121" customFormat="1" ht="14.5">
      <c r="A36" s="472"/>
      <c r="B36" s="455" t="s">
        <v>233</v>
      </c>
      <c r="C36" s="650">
        <v>18.68</v>
      </c>
      <c r="D36" s="287">
        <v>18.11</v>
      </c>
      <c r="E36" s="287">
        <v>8.23</v>
      </c>
      <c r="F36" s="287">
        <v>5.85</v>
      </c>
      <c r="G36" s="287">
        <v>2.96</v>
      </c>
      <c r="H36" s="287">
        <v>49.34</v>
      </c>
      <c r="I36" s="287">
        <v>1.1200000000000001</v>
      </c>
      <c r="J36" s="287">
        <v>7.59</v>
      </c>
      <c r="K36" s="287">
        <v>86.01</v>
      </c>
      <c r="L36" s="287">
        <v>52.7</v>
      </c>
      <c r="M36" s="287">
        <v>50.05</v>
      </c>
      <c r="N36" s="287">
        <v>58.43</v>
      </c>
      <c r="O36" s="287">
        <v>99.81</v>
      </c>
      <c r="P36" s="292">
        <v>36.11</v>
      </c>
      <c r="Q36" s="285"/>
      <c r="R36" s="285"/>
      <c r="S36" s="285"/>
      <c r="T36" s="285"/>
      <c r="U36" s="285"/>
      <c r="V36" s="285"/>
      <c r="W36" s="285"/>
      <c r="X36" s="285"/>
      <c r="Y36" s="285"/>
      <c r="Z36" s="285"/>
      <c r="AA36" s="285"/>
      <c r="AB36" s="285"/>
      <c r="AC36" s="285"/>
      <c r="AD36" s="285"/>
    </row>
    <row r="37" spans="1:30" s="121" customFormat="1" ht="14.5">
      <c r="A37" s="473"/>
      <c r="B37" s="456" t="s">
        <v>234</v>
      </c>
      <c r="C37" s="289">
        <v>19.3</v>
      </c>
      <c r="D37" s="289">
        <v>18.940000000000001</v>
      </c>
      <c r="E37" s="289">
        <v>7.78</v>
      </c>
      <c r="F37" s="289">
        <v>5.71</v>
      </c>
      <c r="G37" s="289">
        <v>2.88</v>
      </c>
      <c r="H37" s="289">
        <v>49.51</v>
      </c>
      <c r="I37" s="289">
        <v>1.52</v>
      </c>
      <c r="J37" s="289">
        <v>11.24</v>
      </c>
      <c r="K37" s="289">
        <v>77.66</v>
      </c>
      <c r="L37" s="289">
        <v>48.86</v>
      </c>
      <c r="M37" s="289">
        <v>51.65</v>
      </c>
      <c r="N37" s="289">
        <v>61.76</v>
      </c>
      <c r="O37" s="289">
        <v>126.03</v>
      </c>
      <c r="P37" s="289">
        <v>35.700000000000003</v>
      </c>
      <c r="Q37" s="285"/>
      <c r="R37" s="285"/>
      <c r="S37" s="285"/>
      <c r="T37" s="285"/>
      <c r="U37" s="285"/>
      <c r="V37" s="285"/>
      <c r="W37" s="285"/>
      <c r="X37" s="285"/>
      <c r="Y37" s="285"/>
      <c r="Z37" s="285"/>
      <c r="AA37" s="285"/>
      <c r="AB37" s="285"/>
      <c r="AC37" s="285"/>
      <c r="AD37" s="285"/>
    </row>
    <row r="38" spans="1:30" s="121" customFormat="1" ht="14.5">
      <c r="A38" s="471">
        <v>2019</v>
      </c>
      <c r="B38" s="453" t="s">
        <v>231</v>
      </c>
      <c r="C38" s="283">
        <v>20.74</v>
      </c>
      <c r="D38" s="283">
        <v>20.37</v>
      </c>
      <c r="E38" s="283">
        <v>6.63</v>
      </c>
      <c r="F38" s="283">
        <v>5.08</v>
      </c>
      <c r="G38" s="283">
        <v>2.56</v>
      </c>
      <c r="H38" s="283">
        <v>49.68</v>
      </c>
      <c r="I38" s="283">
        <v>1.49</v>
      </c>
      <c r="J38" s="283">
        <v>10.37</v>
      </c>
      <c r="K38" s="283">
        <v>77</v>
      </c>
      <c r="L38" s="283">
        <v>46.34</v>
      </c>
      <c r="M38" s="283">
        <v>48.25</v>
      </c>
      <c r="N38" s="283">
        <v>57.58</v>
      </c>
      <c r="O38" s="283">
        <v>99.62</v>
      </c>
      <c r="P38" s="283">
        <v>35.86</v>
      </c>
      <c r="Q38" s="285"/>
      <c r="R38" s="285"/>
      <c r="S38" s="285"/>
      <c r="T38" s="285"/>
      <c r="U38" s="285"/>
      <c r="V38" s="285"/>
      <c r="W38" s="285"/>
      <c r="X38" s="285"/>
      <c r="Y38" s="285"/>
      <c r="Z38" s="285"/>
      <c r="AA38" s="285"/>
      <c r="AB38" s="285"/>
      <c r="AC38" s="285"/>
      <c r="AD38" s="285"/>
    </row>
    <row r="39" spans="1:30" s="121" customFormat="1" ht="14.5">
      <c r="A39" s="472"/>
      <c r="B39" s="450" t="s">
        <v>232</v>
      </c>
      <c r="C39" s="287">
        <v>20.23</v>
      </c>
      <c r="D39" s="287">
        <v>19.829999999999998</v>
      </c>
      <c r="E39" s="287">
        <v>7.19</v>
      </c>
      <c r="F39" s="287">
        <v>5.27</v>
      </c>
      <c r="G39" s="287">
        <v>2.8</v>
      </c>
      <c r="H39" s="287">
        <v>46.92</v>
      </c>
      <c r="I39" s="287">
        <v>1.66</v>
      </c>
      <c r="J39" s="287">
        <v>11.42</v>
      </c>
      <c r="K39" s="287">
        <v>77.349999999999994</v>
      </c>
      <c r="L39" s="287">
        <v>46.97</v>
      </c>
      <c r="M39" s="287">
        <v>46.85</v>
      </c>
      <c r="N39" s="287">
        <v>55.27</v>
      </c>
      <c r="O39" s="287">
        <v>94.84</v>
      </c>
      <c r="P39" s="287">
        <v>37.58</v>
      </c>
      <c r="Q39" s="285"/>
      <c r="R39" s="285"/>
      <c r="S39" s="285"/>
      <c r="T39" s="285"/>
      <c r="U39" s="285"/>
      <c r="V39" s="285"/>
      <c r="W39" s="285"/>
      <c r="X39" s="285"/>
      <c r="Y39" s="285"/>
      <c r="Z39" s="285"/>
      <c r="AA39" s="285"/>
      <c r="AB39" s="285"/>
      <c r="AC39" s="285"/>
      <c r="AD39" s="285"/>
    </row>
    <row r="40" spans="1:30" s="121" customFormat="1" ht="14.5">
      <c r="A40" s="472"/>
      <c r="B40" s="450" t="s">
        <v>233</v>
      </c>
      <c r="C40" s="287">
        <v>20.12</v>
      </c>
      <c r="D40" s="287">
        <v>19.73</v>
      </c>
      <c r="E40" s="287">
        <v>7.05</v>
      </c>
      <c r="F40" s="287">
        <v>4.84</v>
      </c>
      <c r="G40" s="287">
        <v>2.57</v>
      </c>
      <c r="H40" s="287">
        <v>46.95</v>
      </c>
      <c r="I40" s="287">
        <v>1.84</v>
      </c>
      <c r="J40" s="287">
        <v>12.56</v>
      </c>
      <c r="K40" s="287">
        <v>75.77</v>
      </c>
      <c r="L40" s="287">
        <v>47.03</v>
      </c>
      <c r="M40" s="287">
        <v>47.5</v>
      </c>
      <c r="N40" s="287">
        <v>56.78</v>
      </c>
      <c r="O40" s="287">
        <v>96.36</v>
      </c>
      <c r="P40" s="287">
        <v>41.42</v>
      </c>
      <c r="Q40" s="285"/>
      <c r="R40" s="285"/>
      <c r="S40" s="285"/>
      <c r="T40" s="285"/>
      <c r="U40" s="285"/>
      <c r="V40" s="285"/>
      <c r="W40" s="285"/>
      <c r="X40" s="285"/>
      <c r="Y40" s="285"/>
      <c r="Z40" s="285"/>
      <c r="AA40" s="285"/>
      <c r="AB40" s="285"/>
      <c r="AC40" s="285"/>
      <c r="AD40" s="285"/>
    </row>
    <row r="41" spans="1:30" s="121" customFormat="1" ht="14.5">
      <c r="A41" s="473"/>
      <c r="B41" s="452" t="s">
        <v>234</v>
      </c>
      <c r="C41" s="289">
        <v>20.079999999999998</v>
      </c>
      <c r="D41" s="289">
        <v>19.71</v>
      </c>
      <c r="E41" s="289">
        <v>6.46</v>
      </c>
      <c r="F41" s="289">
        <v>4.6399999999999997</v>
      </c>
      <c r="G41" s="289">
        <v>2.41</v>
      </c>
      <c r="H41" s="289">
        <v>48.18</v>
      </c>
      <c r="I41" s="289">
        <v>1.8</v>
      </c>
      <c r="J41" s="289">
        <v>12.49</v>
      </c>
      <c r="K41" s="289">
        <v>72.86</v>
      </c>
      <c r="L41" s="289">
        <v>47.17</v>
      </c>
      <c r="M41" s="289">
        <v>46.49</v>
      </c>
      <c r="N41" s="289">
        <v>55.18</v>
      </c>
      <c r="O41" s="289">
        <v>103.19</v>
      </c>
      <c r="P41" s="289">
        <v>37.56</v>
      </c>
      <c r="Q41" s="285"/>
      <c r="R41" s="285"/>
      <c r="S41" s="285"/>
      <c r="T41" s="285"/>
      <c r="U41" s="285"/>
      <c r="V41" s="285"/>
      <c r="W41" s="285"/>
      <c r="X41" s="285"/>
      <c r="Y41" s="285"/>
      <c r="Z41" s="285"/>
      <c r="AA41" s="285"/>
      <c r="AB41" s="285"/>
      <c r="AC41" s="285"/>
      <c r="AD41" s="285"/>
    </row>
    <row r="42" spans="1:30" s="121" customFormat="1" ht="14.25" customHeight="1">
      <c r="A42" s="471">
        <v>2020</v>
      </c>
      <c r="B42" s="454" t="s">
        <v>231</v>
      </c>
      <c r="C42" s="282">
        <v>20.34501807973459</v>
      </c>
      <c r="D42" s="283">
        <v>19.964455401291001</v>
      </c>
      <c r="E42" s="283">
        <v>6.3553843752994181</v>
      </c>
      <c r="F42" s="283">
        <v>4.3747004227587816</v>
      </c>
      <c r="G42" s="283">
        <v>2.3488194364351709</v>
      </c>
      <c r="H42" s="283">
        <v>46.309022116902945</v>
      </c>
      <c r="I42" s="283">
        <v>1.2124988278665405</v>
      </c>
      <c r="J42" s="283">
        <v>7.3160159800594231</v>
      </c>
      <c r="K42" s="283">
        <v>88.216540250361916</v>
      </c>
      <c r="L42" s="283">
        <v>57.483268261732867</v>
      </c>
      <c r="M42" s="283">
        <v>46.705436310213841</v>
      </c>
      <c r="N42" s="283">
        <v>56.764699784107073</v>
      </c>
      <c r="O42" s="283">
        <v>92.579167572476052</v>
      </c>
      <c r="P42" s="283">
        <v>40.709180755311245</v>
      </c>
      <c r="Q42" s="285"/>
      <c r="R42" s="285"/>
      <c r="S42" s="285"/>
      <c r="T42" s="285"/>
      <c r="U42" s="285"/>
      <c r="V42" s="285"/>
      <c r="W42" s="285"/>
      <c r="X42" s="285"/>
      <c r="Y42" s="285"/>
      <c r="Z42" s="285"/>
      <c r="AA42" s="285"/>
      <c r="AB42" s="285"/>
      <c r="AC42" s="285"/>
      <c r="AD42" s="285"/>
    </row>
    <row r="43" spans="1:30" s="121" customFormat="1" ht="14.25" customHeight="1">
      <c r="A43" s="472"/>
      <c r="B43" s="455" t="s">
        <v>232</v>
      </c>
      <c r="C43" s="650">
        <v>20.548274478944951</v>
      </c>
      <c r="D43" s="287">
        <v>20.105559592188282</v>
      </c>
      <c r="E43" s="287">
        <v>6.2034359792237357</v>
      </c>
      <c r="F43" s="287">
        <v>4.3123606260250558</v>
      </c>
      <c r="G43" s="287">
        <v>2.2911042121283547</v>
      </c>
      <c r="H43" s="287">
        <v>46.871228758059729</v>
      </c>
      <c r="I43" s="287">
        <v>1.6851854019566768</v>
      </c>
      <c r="J43" s="287">
        <v>11.679364731417806</v>
      </c>
      <c r="K43" s="287">
        <v>70.763406734550642</v>
      </c>
      <c r="L43" s="287">
        <v>47.352968538636006</v>
      </c>
      <c r="M43" s="287">
        <v>44.233061578544465</v>
      </c>
      <c r="N43" s="287">
        <v>53.734557300229312</v>
      </c>
      <c r="O43" s="287">
        <v>85.779318553451205</v>
      </c>
      <c r="P43" s="287">
        <v>40.58242518401368</v>
      </c>
      <c r="Q43" s="285"/>
      <c r="R43" s="285"/>
      <c r="S43" s="285"/>
      <c r="T43" s="285"/>
      <c r="U43" s="285"/>
      <c r="V43" s="285"/>
      <c r="W43" s="285"/>
      <c r="X43" s="285"/>
      <c r="Y43" s="285"/>
      <c r="Z43" s="285"/>
      <c r="AA43" s="285"/>
      <c r="AB43" s="285"/>
      <c r="AC43" s="285"/>
      <c r="AD43" s="285"/>
    </row>
    <row r="44" spans="1:30" s="121" customFormat="1" ht="14.25" customHeight="1">
      <c r="A44" s="472"/>
      <c r="B44" s="455" t="s">
        <v>233</v>
      </c>
      <c r="C44" s="287">
        <v>21.085915491226402</v>
      </c>
      <c r="D44" s="287">
        <v>20.648541289545712</v>
      </c>
      <c r="E44" s="287">
        <v>6.2378400202981581</v>
      </c>
      <c r="F44" s="287">
        <v>4.3461264321036062</v>
      </c>
      <c r="G44" s="287">
        <v>2.3941794112450241</v>
      </c>
      <c r="H44" s="287">
        <v>44.912338638841746</v>
      </c>
      <c r="I44" s="287">
        <v>1.657519248856383</v>
      </c>
      <c r="J44" s="287">
        <v>11.406709720893355</v>
      </c>
      <c r="K44" s="287">
        <v>71.065958210742835</v>
      </c>
      <c r="L44" s="287">
        <v>48.850842747720975</v>
      </c>
      <c r="M44" s="287">
        <v>49.768889244760665</v>
      </c>
      <c r="N44" s="287">
        <v>61.686374160049574</v>
      </c>
      <c r="O44" s="287">
        <v>101.60119848292109</v>
      </c>
      <c r="P44" s="287">
        <v>40.311996086214982</v>
      </c>
      <c r="Q44" s="285"/>
      <c r="R44" s="285"/>
      <c r="S44" s="285"/>
      <c r="T44" s="285"/>
      <c r="U44" s="285"/>
      <c r="V44" s="285"/>
      <c r="W44" s="285"/>
      <c r="X44" s="285"/>
      <c r="Y44" s="285"/>
      <c r="Z44" s="285"/>
      <c r="AA44" s="285"/>
      <c r="AB44" s="285"/>
      <c r="AC44" s="285"/>
      <c r="AD44" s="285"/>
    </row>
    <row r="45" spans="1:30" s="121" customFormat="1" ht="14.25" customHeight="1">
      <c r="A45" s="473"/>
      <c r="B45" s="456" t="s">
        <v>234</v>
      </c>
      <c r="C45" s="290">
        <v>20.788286365888847</v>
      </c>
      <c r="D45" s="289">
        <v>20.495355253826489</v>
      </c>
      <c r="E45" s="289">
        <v>6.1299082835785539</v>
      </c>
      <c r="F45" s="289">
        <v>4.7003891426411304</v>
      </c>
      <c r="G45" s="289">
        <v>2.4362792153983102</v>
      </c>
      <c r="H45" s="289">
        <v>48.168563464314126</v>
      </c>
      <c r="I45" s="289">
        <v>1.5235729033705998</v>
      </c>
      <c r="J45" s="289">
        <v>10.562865014386594</v>
      </c>
      <c r="K45" s="289">
        <v>71.633837311701981</v>
      </c>
      <c r="L45" s="289">
        <v>50.748018837984809</v>
      </c>
      <c r="M45" s="289">
        <v>48.220124309570828</v>
      </c>
      <c r="N45" s="289">
        <v>60.228244114919192</v>
      </c>
      <c r="O45" s="289">
        <v>95.866341096809066</v>
      </c>
      <c r="P45" s="289">
        <v>39.810990810168143</v>
      </c>
      <c r="Q45" s="285"/>
      <c r="R45" s="285"/>
      <c r="S45" s="285"/>
      <c r="T45" s="285"/>
      <c r="U45" s="285"/>
      <c r="V45" s="285"/>
      <c r="W45" s="285"/>
      <c r="X45" s="285"/>
      <c r="Y45" s="285"/>
      <c r="Z45" s="285"/>
      <c r="AA45" s="285"/>
      <c r="AB45" s="285"/>
      <c r="AC45" s="285"/>
      <c r="AD45" s="285"/>
    </row>
    <row r="46" spans="1:30" s="121" customFormat="1" ht="14.25" customHeight="1">
      <c r="A46" s="471">
        <v>2021</v>
      </c>
      <c r="B46" s="454" t="s">
        <v>231</v>
      </c>
      <c r="C46" s="284">
        <v>21.414244146300977</v>
      </c>
      <c r="D46" s="283">
        <v>21.052663634293815</v>
      </c>
      <c r="E46" s="283">
        <v>6.1275594205171977</v>
      </c>
      <c r="F46" s="283">
        <v>4.5369090484919417</v>
      </c>
      <c r="G46" s="283">
        <v>2.4728648651324736</v>
      </c>
      <c r="H46" s="283">
        <v>45.494502122442853</v>
      </c>
      <c r="I46" s="283">
        <v>1.0572171451599965</v>
      </c>
      <c r="J46" s="283">
        <v>6.3243701483850696</v>
      </c>
      <c r="K46" s="283">
        <v>78.677251896306359</v>
      </c>
      <c r="L46" s="283">
        <v>60.773906000932364</v>
      </c>
      <c r="M46" s="283">
        <v>47.801324396405683</v>
      </c>
      <c r="N46" s="283">
        <v>58.90733920814408</v>
      </c>
      <c r="O46" s="283">
        <v>94.35792478619004</v>
      </c>
      <c r="P46" s="283">
        <v>39.717233183346288</v>
      </c>
      <c r="Q46" s="285"/>
      <c r="R46" s="285"/>
      <c r="S46" s="285"/>
      <c r="T46" s="285"/>
      <c r="U46" s="285"/>
      <c r="V46" s="285"/>
      <c r="W46" s="285"/>
      <c r="X46" s="285"/>
      <c r="Y46" s="285"/>
      <c r="Z46" s="285"/>
      <c r="AA46" s="285"/>
      <c r="AB46" s="285"/>
      <c r="AC46" s="285"/>
      <c r="AD46" s="285"/>
    </row>
    <row r="47" spans="1:30" s="121" customFormat="1" ht="14.25" customHeight="1">
      <c r="A47" s="472"/>
      <c r="B47" s="455" t="s">
        <v>232</v>
      </c>
      <c r="C47" s="287">
        <v>21.505654302879908</v>
      </c>
      <c r="D47" s="287">
        <v>21.09978495303854</v>
      </c>
      <c r="E47" s="287">
        <v>5.0328936515744633</v>
      </c>
      <c r="F47" s="287">
        <v>3.9286027506768177</v>
      </c>
      <c r="G47" s="287">
        <v>2.0212735486781508</v>
      </c>
      <c r="H47" s="287">
        <v>48.549810786292227</v>
      </c>
      <c r="I47" s="287">
        <v>1.3299168509893937</v>
      </c>
      <c r="J47" s="287">
        <v>8.1636679115658044</v>
      </c>
      <c r="K47" s="287">
        <v>69.633178973375522</v>
      </c>
      <c r="L47" s="287">
        <v>57.000091983447909</v>
      </c>
      <c r="M47" s="287">
        <v>49.057767875572715</v>
      </c>
      <c r="N47" s="287">
        <v>59.535876962188581</v>
      </c>
      <c r="O47" s="287">
        <v>97.804123421825878</v>
      </c>
      <c r="P47" s="287">
        <v>38.920423858196123</v>
      </c>
      <c r="Q47" s="285"/>
      <c r="R47" s="285"/>
      <c r="S47" s="285"/>
      <c r="T47" s="285"/>
      <c r="U47" s="285"/>
      <c r="V47" s="285"/>
      <c r="W47" s="285"/>
      <c r="X47" s="285"/>
      <c r="Y47" s="285"/>
      <c r="Z47" s="285"/>
      <c r="AA47" s="285"/>
      <c r="AB47" s="285"/>
      <c r="AC47" s="285"/>
      <c r="AD47" s="285"/>
    </row>
    <row r="48" spans="1:30" s="121" customFormat="1" ht="14.25" customHeight="1">
      <c r="A48" s="472"/>
      <c r="B48" s="455" t="s">
        <v>233</v>
      </c>
      <c r="C48" s="287">
        <v>19.870593990914902</v>
      </c>
      <c r="D48" s="287">
        <v>20.269043254497209</v>
      </c>
      <c r="E48" s="287">
        <v>5.1291427931445375</v>
      </c>
      <c r="F48" s="287">
        <v>3.6368068734870294</v>
      </c>
      <c r="G48" s="287">
        <v>2.0077716531251713</v>
      </c>
      <c r="H48" s="287">
        <v>44.79300873075816</v>
      </c>
      <c r="I48" s="287">
        <v>1.4657997281304094</v>
      </c>
      <c r="J48" s="287">
        <v>9.4877766497564959</v>
      </c>
      <c r="K48" s="287">
        <v>65.239425904871894</v>
      </c>
      <c r="L48" s="287">
        <v>53.843852329600452</v>
      </c>
      <c r="M48" s="287">
        <v>49.228762453957444</v>
      </c>
      <c r="N48" s="287">
        <v>58.569284519370193</v>
      </c>
      <c r="O48" s="287">
        <v>94.076182259293134</v>
      </c>
      <c r="P48" s="287">
        <v>37.012248513360731</v>
      </c>
      <c r="Q48" s="285"/>
      <c r="R48" s="285"/>
      <c r="S48" s="285"/>
      <c r="T48" s="285"/>
      <c r="U48" s="285"/>
      <c r="V48" s="285"/>
      <c r="W48" s="285"/>
      <c r="X48" s="285"/>
      <c r="Y48" s="285"/>
      <c r="Z48" s="285"/>
      <c r="AA48" s="285"/>
      <c r="AB48" s="285"/>
      <c r="AC48" s="285"/>
      <c r="AD48" s="285"/>
    </row>
    <row r="49" spans="1:30" s="121" customFormat="1" ht="14.25" customHeight="1">
      <c r="A49" s="473"/>
      <c r="B49" s="456" t="s">
        <v>234</v>
      </c>
      <c r="C49" s="290">
        <v>21.502085438223297</v>
      </c>
      <c r="D49" s="289">
        <v>21.197579015869881</v>
      </c>
      <c r="E49" s="289">
        <v>4.8723100975285067</v>
      </c>
      <c r="F49" s="289">
        <v>3.5990409864850714</v>
      </c>
      <c r="G49" s="289">
        <v>1.8910294841529476</v>
      </c>
      <c r="H49" s="289">
        <v>47.457406257554666</v>
      </c>
      <c r="I49" s="289">
        <v>1.2956467717053453</v>
      </c>
      <c r="J49" s="289">
        <v>8.5669311613681263</v>
      </c>
      <c r="K49" s="289">
        <v>67.767830000020254</v>
      </c>
      <c r="L49" s="289">
        <v>57.111171808882453</v>
      </c>
      <c r="M49" s="289">
        <v>45.537350240204759</v>
      </c>
      <c r="N49" s="289">
        <v>54.065386715112936</v>
      </c>
      <c r="O49" s="289">
        <v>84.085033304540275</v>
      </c>
      <c r="P49" s="289">
        <v>37.34662826186667</v>
      </c>
      <c r="Q49" s="285"/>
      <c r="R49" s="285"/>
      <c r="S49" s="285"/>
      <c r="T49" s="285"/>
      <c r="U49" s="285"/>
      <c r="V49" s="285"/>
      <c r="W49" s="285"/>
      <c r="X49" s="285"/>
      <c r="Y49" s="285"/>
      <c r="Z49" s="285"/>
      <c r="AA49" s="285"/>
      <c r="AB49" s="285"/>
      <c r="AC49" s="285"/>
      <c r="AD49" s="285"/>
    </row>
    <row r="50" spans="1:30" s="121" customFormat="1" ht="14.25" customHeight="1">
      <c r="A50" s="471">
        <v>2022</v>
      </c>
      <c r="B50" s="454" t="s">
        <v>231</v>
      </c>
      <c r="C50" s="579">
        <v>22.050663074632919</v>
      </c>
      <c r="D50" s="579">
        <v>21.692047078429617</v>
      </c>
      <c r="E50" s="283">
        <v>4.574135952029418</v>
      </c>
      <c r="F50" s="283">
        <v>3.3496044424356803</v>
      </c>
      <c r="G50" s="283">
        <v>1.7456009277941154</v>
      </c>
      <c r="H50" s="283">
        <v>47.886356201367057</v>
      </c>
      <c r="I50" s="283">
        <v>0.55278312579399802</v>
      </c>
      <c r="J50" s="283">
        <v>3.0177296704235292</v>
      </c>
      <c r="K50" s="283">
        <v>93.17069176219745</v>
      </c>
      <c r="L50" s="283">
        <v>76.000993618145557</v>
      </c>
      <c r="M50" s="283">
        <v>46.53400041124921</v>
      </c>
      <c r="N50" s="283">
        <v>54.856414776468135</v>
      </c>
      <c r="O50" s="283">
        <v>80.685606862975106</v>
      </c>
      <c r="P50" s="283">
        <v>36.970880886265597</v>
      </c>
      <c r="Q50" s="580"/>
      <c r="R50" s="285"/>
      <c r="S50" s="285"/>
      <c r="T50" s="285"/>
      <c r="U50" s="285"/>
      <c r="V50" s="285"/>
      <c r="W50" s="285"/>
      <c r="X50" s="285"/>
      <c r="Y50" s="285"/>
      <c r="Z50" s="285"/>
      <c r="AA50" s="285"/>
      <c r="AB50" s="285"/>
      <c r="AC50" s="285"/>
      <c r="AD50" s="285"/>
    </row>
    <row r="51" spans="1:30" s="121" customFormat="1" ht="14.25" customHeight="1">
      <c r="A51" s="472"/>
      <c r="B51" s="455" t="s">
        <v>232</v>
      </c>
      <c r="C51" s="287">
        <v>21.532996298120928</v>
      </c>
      <c r="D51" s="287">
        <v>21.195586055979664</v>
      </c>
      <c r="E51" s="287">
        <v>5.1927935034035189</v>
      </c>
      <c r="F51" s="287">
        <v>3.6208271513294719</v>
      </c>
      <c r="G51" s="287">
        <v>1.9750023645087822</v>
      </c>
      <c r="H51" s="287">
        <v>45.454387023594492</v>
      </c>
      <c r="I51" s="287">
        <v>0.69563898235932831</v>
      </c>
      <c r="J51" s="287">
        <v>5.4478398625701319</v>
      </c>
      <c r="K51" s="287">
        <v>89.277027121779568</v>
      </c>
      <c r="L51" s="287">
        <v>71.221819954671687</v>
      </c>
      <c r="M51" s="287">
        <v>45.452860057273156</v>
      </c>
      <c r="N51" s="287">
        <v>54.762183154511945</v>
      </c>
      <c r="O51" s="287">
        <v>95.271752157355621</v>
      </c>
      <c r="P51" s="287">
        <v>37.318636865806226</v>
      </c>
      <c r="Q51" s="285"/>
      <c r="R51" s="285"/>
      <c r="S51" s="285"/>
      <c r="T51" s="285"/>
      <c r="U51" s="285"/>
      <c r="V51" s="285"/>
      <c r="W51" s="285"/>
      <c r="X51" s="285"/>
      <c r="Y51" s="285"/>
      <c r="Z51" s="285"/>
      <c r="AA51" s="285"/>
      <c r="AB51" s="285"/>
      <c r="AC51" s="285"/>
      <c r="AD51" s="285"/>
    </row>
    <row r="52" spans="1:30" s="121" customFormat="1" ht="14.25" customHeight="1">
      <c r="A52" s="472"/>
      <c r="B52" s="455" t="s">
        <v>233</v>
      </c>
      <c r="C52" s="616">
        <v>20.071870913491203</v>
      </c>
      <c r="D52" s="616">
        <v>19.731695756408467</v>
      </c>
      <c r="E52" s="616">
        <v>5.4959123246955448</v>
      </c>
      <c r="F52" s="616">
        <v>3.3062114874412476</v>
      </c>
      <c r="G52" s="616">
        <v>1.9792657272419623</v>
      </c>
      <c r="H52" s="616">
        <v>40.134932845032203</v>
      </c>
      <c r="I52" s="616">
        <v>1.1283774896265979</v>
      </c>
      <c r="J52" s="616">
        <v>8.3917022200777982</v>
      </c>
      <c r="K52" s="616">
        <v>79.849778887826957</v>
      </c>
      <c r="L52" s="616">
        <v>59.646279945798433</v>
      </c>
      <c r="M52" s="616">
        <v>44.202687996128496</v>
      </c>
      <c r="N52" s="616">
        <v>51.906990218256425</v>
      </c>
      <c r="O52" s="616">
        <v>84.51849740856342</v>
      </c>
      <c r="P52" s="616">
        <v>36.435485570385239</v>
      </c>
      <c r="Q52" s="285"/>
      <c r="R52" s="285"/>
      <c r="S52" s="285"/>
      <c r="T52" s="285"/>
      <c r="U52" s="285"/>
      <c r="V52" s="285"/>
      <c r="W52" s="285"/>
      <c r="X52" s="285"/>
      <c r="Y52" s="285"/>
      <c r="Z52" s="285"/>
      <c r="AA52" s="285"/>
      <c r="AB52" s="285"/>
      <c r="AC52" s="285"/>
      <c r="AD52" s="285"/>
    </row>
    <row r="53" spans="1:30" s="121" customFormat="1" ht="14.25" customHeight="1">
      <c r="A53" s="473"/>
      <c r="B53" s="456" t="s">
        <v>234</v>
      </c>
      <c r="C53" s="624">
        <v>20.904607499621285</v>
      </c>
      <c r="D53" s="624">
        <v>20.645709284784385</v>
      </c>
      <c r="E53" s="624">
        <v>5.5394785640193751</v>
      </c>
      <c r="F53" s="624">
        <v>3.3413202701551037</v>
      </c>
      <c r="G53" s="624">
        <v>2.0771673898123217</v>
      </c>
      <c r="H53" s="624">
        <v>37.833933239931532</v>
      </c>
      <c r="I53" s="624">
        <v>1.2803241424201348</v>
      </c>
      <c r="J53" s="624">
        <v>9.2507455318171736</v>
      </c>
      <c r="K53" s="624">
        <v>80.200427413104322</v>
      </c>
      <c r="L53" s="624">
        <v>57.666810993405527</v>
      </c>
      <c r="M53" s="624">
        <v>43.741358498924747</v>
      </c>
      <c r="N53" s="624">
        <v>51.775686998570627</v>
      </c>
      <c r="O53" s="624">
        <v>94.943890877929704</v>
      </c>
      <c r="P53" s="624">
        <v>36.522893109844624</v>
      </c>
      <c r="Q53" s="285"/>
      <c r="R53" s="285"/>
      <c r="S53" s="285"/>
      <c r="T53" s="285"/>
      <c r="U53" s="285"/>
      <c r="V53" s="285"/>
      <c r="W53" s="285"/>
      <c r="X53" s="285"/>
      <c r="Y53" s="285"/>
      <c r="Z53" s="285"/>
      <c r="AA53" s="285"/>
      <c r="AB53" s="285"/>
      <c r="AC53" s="285"/>
      <c r="AD53" s="285"/>
    </row>
    <row r="54" spans="1:30" s="121" customFormat="1" ht="14.25" customHeight="1">
      <c r="A54" s="471">
        <v>2023</v>
      </c>
      <c r="B54" s="454" t="s">
        <v>231</v>
      </c>
      <c r="C54" s="620">
        <v>21.26</v>
      </c>
      <c r="D54" s="620">
        <v>20.95</v>
      </c>
      <c r="E54" s="620">
        <v>4.7468288538782355</v>
      </c>
      <c r="F54" s="620">
        <v>3.1540796302598464</v>
      </c>
      <c r="G54" s="620">
        <v>1.8673582786676004</v>
      </c>
      <c r="H54" s="620">
        <v>40.795461828154302</v>
      </c>
      <c r="I54" s="620">
        <v>2.1864078113312999</v>
      </c>
      <c r="J54" s="620">
        <v>14.684210517511293</v>
      </c>
      <c r="K54" s="620">
        <v>80.077412774158546</v>
      </c>
      <c r="L54" s="620">
        <v>43.282686811198083</v>
      </c>
      <c r="M54" s="620">
        <v>48.083616291245285</v>
      </c>
      <c r="N54" s="620">
        <v>56.958346885605252</v>
      </c>
      <c r="O54" s="620">
        <v>94.273735622106344</v>
      </c>
      <c r="P54" s="620">
        <v>37.405130596214093</v>
      </c>
      <c r="Q54" s="285"/>
      <c r="R54" s="285"/>
      <c r="S54" s="285"/>
      <c r="T54" s="285"/>
      <c r="U54" s="285"/>
      <c r="V54" s="285"/>
      <c r="W54" s="285"/>
      <c r="X54" s="285"/>
      <c r="Y54" s="285"/>
      <c r="Z54" s="285"/>
      <c r="AA54" s="285"/>
      <c r="AB54" s="285"/>
      <c r="AC54" s="285"/>
      <c r="AD54" s="285"/>
    </row>
    <row r="55" spans="1:30" s="121" customFormat="1" ht="14.25" customHeight="1">
      <c r="A55" s="472"/>
      <c r="B55" s="455" t="s">
        <v>232</v>
      </c>
      <c r="C55" s="616">
        <v>20.472103014302608</v>
      </c>
      <c r="D55" s="616">
        <v>20.181159500998767</v>
      </c>
      <c r="E55" s="616">
        <v>4.6946879856438262</v>
      </c>
      <c r="F55" s="616">
        <v>2.870572826003202</v>
      </c>
      <c r="G55" s="616">
        <v>1.8007047111510521</v>
      </c>
      <c r="H55" s="616">
        <v>37.270195870340075</v>
      </c>
      <c r="I55" s="616">
        <v>2.1105870748723956</v>
      </c>
      <c r="J55" s="616">
        <v>13.791572250955916</v>
      </c>
      <c r="K55" s="616">
        <v>82.032428252847893</v>
      </c>
      <c r="L55" s="616">
        <v>45.115737491851306</v>
      </c>
      <c r="M55" s="616">
        <v>45.91084375266486</v>
      </c>
      <c r="N55" s="616">
        <v>55.361647898175939</v>
      </c>
      <c r="O55" s="616">
        <v>92.045352089151109</v>
      </c>
      <c r="P55" s="616">
        <v>40.327645367947966</v>
      </c>
      <c r="Q55" s="285"/>
      <c r="R55" s="285"/>
      <c r="S55" s="285"/>
      <c r="T55" s="285"/>
      <c r="U55" s="285"/>
      <c r="V55" s="285"/>
      <c r="W55" s="285"/>
      <c r="X55" s="285"/>
      <c r="Y55" s="285"/>
      <c r="Z55" s="285"/>
      <c r="AA55" s="285"/>
      <c r="AB55" s="285"/>
      <c r="AC55" s="285"/>
      <c r="AD55" s="285"/>
    </row>
    <row r="56" spans="1:30" s="121" customFormat="1" ht="14.25" customHeight="1">
      <c r="A56" s="472"/>
      <c r="B56" s="455" t="s">
        <v>233</v>
      </c>
      <c r="C56" s="616">
        <v>19.640604260223036</v>
      </c>
      <c r="D56" s="616">
        <v>19.355755217322379</v>
      </c>
      <c r="E56" s="616">
        <v>4.296500185068246</v>
      </c>
      <c r="F56" s="616">
        <v>2.5894895066217467</v>
      </c>
      <c r="G56" s="616">
        <v>1.5696193695883962</v>
      </c>
      <c r="H56" s="616">
        <v>39.38498821583854</v>
      </c>
      <c r="I56" s="616">
        <v>2.1731177007832816</v>
      </c>
      <c r="J56" s="616">
        <v>14.160096811119496</v>
      </c>
      <c r="K56" s="616">
        <v>80.750978947097764</v>
      </c>
      <c r="L56" s="616">
        <v>44.957964178223413</v>
      </c>
      <c r="M56" s="616">
        <v>45.53421862188209</v>
      </c>
      <c r="N56" s="616">
        <v>55.290307930385509</v>
      </c>
      <c r="O56" s="616">
        <v>89.39434183805723</v>
      </c>
      <c r="P56" s="616">
        <v>42.891291770853421</v>
      </c>
      <c r="Q56" s="285"/>
      <c r="R56" s="285"/>
      <c r="S56" s="285"/>
      <c r="T56" s="285"/>
      <c r="U56" s="285"/>
      <c r="V56" s="285"/>
      <c r="W56" s="285"/>
      <c r="X56" s="285"/>
      <c r="Y56" s="285"/>
      <c r="Z56" s="285"/>
      <c r="AA56" s="285"/>
      <c r="AB56" s="285"/>
      <c r="AC56" s="285"/>
      <c r="AD56" s="285"/>
    </row>
    <row r="57" spans="1:30" s="121" customFormat="1" ht="14.25" customHeight="1">
      <c r="A57" s="473"/>
      <c r="B57" s="456" t="s">
        <v>234</v>
      </c>
      <c r="C57" s="617">
        <v>20.080617911573022</v>
      </c>
      <c r="D57" s="617">
        <v>19.856140480182415</v>
      </c>
      <c r="E57" s="617">
        <v>4.4411583820732385</v>
      </c>
      <c r="F57" s="617">
        <v>2.5909872048496325</v>
      </c>
      <c r="G57" s="617">
        <v>1.6251219043752028</v>
      </c>
      <c r="H57" s="617">
        <v>37.277887697268028</v>
      </c>
      <c r="I57" s="617">
        <v>2.1055674634444301</v>
      </c>
      <c r="J57" s="617">
        <v>13.584053391940298</v>
      </c>
      <c r="K57" s="617">
        <v>82.351252290198346</v>
      </c>
      <c r="L57" s="617">
        <v>46.015399698272766</v>
      </c>
      <c r="M57" s="617">
        <v>43.537973917091762</v>
      </c>
      <c r="N57" s="617">
        <v>53.116710163599436</v>
      </c>
      <c r="O57" s="617">
        <v>91.863303982716815</v>
      </c>
      <c r="P57" s="617">
        <v>43.739482819484046</v>
      </c>
      <c r="Q57" s="285"/>
      <c r="R57" s="285"/>
      <c r="S57" s="285"/>
      <c r="T57" s="285"/>
      <c r="U57" s="285"/>
      <c r="V57" s="285"/>
      <c r="W57" s="285"/>
      <c r="X57" s="285"/>
      <c r="Y57" s="285"/>
      <c r="Z57" s="285"/>
      <c r="AA57" s="285"/>
      <c r="AB57" s="285"/>
      <c r="AC57" s="285"/>
      <c r="AD57" s="285"/>
    </row>
    <row r="58" spans="1:30" s="121" customFormat="1" ht="14.25" customHeight="1">
      <c r="A58" s="471">
        <v>2024</v>
      </c>
      <c r="B58" s="454" t="s">
        <v>231</v>
      </c>
      <c r="C58" s="620">
        <v>20.906255964876536</v>
      </c>
      <c r="D58" s="620">
        <v>20.634627474324233</v>
      </c>
      <c r="E58" s="620">
        <v>4.1443670433417275</v>
      </c>
      <c r="F58" s="620">
        <v>2.4823702101721397</v>
      </c>
      <c r="G58" s="620">
        <v>1.5465165696265526</v>
      </c>
      <c r="H58" s="620">
        <v>37.700002872685545</v>
      </c>
      <c r="I58" s="620">
        <v>2.0283235032209102</v>
      </c>
      <c r="J58" s="620">
        <v>12.994538407139292</v>
      </c>
      <c r="K58" s="620">
        <v>79.224259212212388</v>
      </c>
      <c r="L58" s="620">
        <v>45.731963647831293</v>
      </c>
      <c r="M58" s="620">
        <v>43.704516200235069</v>
      </c>
      <c r="N58" s="620">
        <v>53.874359767031891</v>
      </c>
      <c r="O58" s="620">
        <v>91.731967496144179</v>
      </c>
      <c r="P58" s="620">
        <v>43.434205100902297</v>
      </c>
      <c r="Q58" s="285"/>
      <c r="R58" s="285"/>
      <c r="S58" s="285"/>
      <c r="T58" s="285"/>
      <c r="U58" s="285"/>
      <c r="V58" s="285"/>
      <c r="W58" s="285"/>
      <c r="X58" s="285"/>
      <c r="Y58" s="285"/>
      <c r="Z58" s="285"/>
      <c r="AA58" s="285"/>
      <c r="AB58" s="285"/>
      <c r="AC58" s="285"/>
      <c r="AD58" s="285"/>
    </row>
    <row r="59" spans="1:30" s="121" customFormat="1" ht="14.25" customHeight="1">
      <c r="A59" s="472"/>
      <c r="B59" s="455" t="s">
        <v>232</v>
      </c>
      <c r="C59" s="616">
        <v>20.884498075007095</v>
      </c>
      <c r="D59" s="616">
        <v>20.639233904712899</v>
      </c>
      <c r="E59" s="616">
        <v>3.9168355140353328</v>
      </c>
      <c r="F59" s="616">
        <v>2.3665070249237674</v>
      </c>
      <c r="G59" s="616">
        <v>1.4368050730597164</v>
      </c>
      <c r="H59" s="616">
        <v>39.28583106124519</v>
      </c>
      <c r="I59" s="616">
        <v>1.9461480602330172</v>
      </c>
      <c r="J59" s="616">
        <v>12.260662090951504</v>
      </c>
      <c r="K59" s="616">
        <v>82.371577783215344</v>
      </c>
      <c r="L59" s="616">
        <v>47.348206070248864</v>
      </c>
      <c r="M59" s="616">
        <v>42.701663320478573</v>
      </c>
      <c r="N59" s="616">
        <v>53.332728102327934</v>
      </c>
      <c r="O59" s="616">
        <v>90.888999978451807</v>
      </c>
      <c r="P59" s="616">
        <v>46.137416409363645</v>
      </c>
      <c r="Q59" s="285"/>
      <c r="R59" s="285"/>
      <c r="S59" s="285"/>
      <c r="T59" s="285"/>
      <c r="U59" s="285"/>
      <c r="V59" s="285"/>
      <c r="W59" s="285"/>
      <c r="X59" s="285"/>
      <c r="Y59" s="285"/>
      <c r="Z59" s="285"/>
      <c r="AA59" s="285"/>
      <c r="AB59" s="285"/>
      <c r="AC59" s="285"/>
      <c r="AD59" s="285"/>
    </row>
    <row r="60" spans="1:30" s="121" customFormat="1" ht="14.25" customHeight="1">
      <c r="A60" s="472"/>
      <c r="B60" s="455" t="s">
        <v>233</v>
      </c>
      <c r="C60" s="616">
        <v>21.714685944113779</v>
      </c>
      <c r="D60" s="616">
        <v>21.503833713721232</v>
      </c>
      <c r="E60" s="616">
        <v>3.4009852222672561</v>
      </c>
      <c r="F60" s="616">
        <v>2.2726097375352463</v>
      </c>
      <c r="G60" s="616">
        <v>1.2992575242858972</v>
      </c>
      <c r="H60" s="616">
        <v>42.829712342295778</v>
      </c>
      <c r="I60" s="616">
        <v>1.8636697027022091</v>
      </c>
      <c r="J60" s="616">
        <v>11.428183571159197</v>
      </c>
      <c r="K60" s="616">
        <v>84.851995628944096</v>
      </c>
      <c r="L60" s="616">
        <v>47.569007565342552</v>
      </c>
      <c r="M60" s="616">
        <v>42.984915061943092</v>
      </c>
      <c r="N60" s="616">
        <v>54.121091740014172</v>
      </c>
      <c r="O60" s="616">
        <v>97.618003319070993</v>
      </c>
      <c r="P60" s="616">
        <v>46.755578285947017</v>
      </c>
      <c r="Q60" s="285"/>
      <c r="R60" s="285"/>
      <c r="S60" s="285"/>
      <c r="T60" s="285"/>
      <c r="U60" s="285"/>
      <c r="V60" s="285"/>
      <c r="W60" s="285"/>
      <c r="X60" s="285"/>
      <c r="Y60" s="285"/>
      <c r="Z60" s="285"/>
      <c r="AA60" s="285"/>
      <c r="AB60" s="285"/>
      <c r="AC60" s="285"/>
      <c r="AD60" s="285"/>
    </row>
    <row r="61" spans="1:30" s="121" customFormat="1" ht="14.25" customHeight="1">
      <c r="A61" s="473"/>
      <c r="B61" s="456" t="s">
        <v>234</v>
      </c>
      <c r="C61" s="617">
        <v>20.461920905759332</v>
      </c>
      <c r="D61" s="617">
        <v>20.304100274951743</v>
      </c>
      <c r="E61" s="617">
        <v>3.049652313785304</v>
      </c>
      <c r="F61" s="617">
        <v>2.0022189478347037</v>
      </c>
      <c r="G61" s="617">
        <v>1.0923684685959436</v>
      </c>
      <c r="H61" s="617">
        <v>45.442107129328505</v>
      </c>
      <c r="I61" s="617">
        <v>1.9001303613942824</v>
      </c>
      <c r="J61" s="617">
        <v>11.833838735357311</v>
      </c>
      <c r="K61" s="617">
        <v>82.559385432806152</v>
      </c>
      <c r="L61" s="617">
        <v>47.981311787213173</v>
      </c>
      <c r="M61" s="617">
        <v>43.970535896685313</v>
      </c>
      <c r="N61" s="617">
        <v>55.29174166139579</v>
      </c>
      <c r="O61" s="617">
        <v>98.166286710783424</v>
      </c>
      <c r="P61" s="617">
        <v>46.15282376174018</v>
      </c>
      <c r="Q61" s="285"/>
      <c r="R61" s="285"/>
      <c r="S61" s="285"/>
      <c r="T61" s="285"/>
      <c r="U61" s="285"/>
      <c r="V61" s="285"/>
      <c r="W61" s="285"/>
      <c r="X61" s="285"/>
      <c r="Y61" s="285"/>
      <c r="Z61" s="285"/>
      <c r="AA61" s="285"/>
      <c r="AB61" s="285"/>
      <c r="AC61" s="285"/>
      <c r="AD61" s="285"/>
    </row>
    <row r="62" spans="1:30" s="121" customFormat="1" ht="14.25" customHeight="1">
      <c r="A62" s="471">
        <v>2025</v>
      </c>
      <c r="B62" s="454" t="s">
        <v>231</v>
      </c>
      <c r="C62" s="620">
        <v>21.380245077499843</v>
      </c>
      <c r="D62" s="620">
        <v>21.198105900641071</v>
      </c>
      <c r="E62" s="620">
        <v>3.11663865325681</v>
      </c>
      <c r="F62" s="620">
        <v>2.0223009913309626</v>
      </c>
      <c r="G62" s="620">
        <v>1.1138988298995032</v>
      </c>
      <c r="H62" s="620">
        <v>44.919236321671448</v>
      </c>
      <c r="I62" s="620">
        <v>1.7416157733455648</v>
      </c>
      <c r="J62" s="620">
        <v>10.592689815196298</v>
      </c>
      <c r="K62" s="620">
        <v>77.953641920360724</v>
      </c>
      <c r="L62" s="620">
        <v>50.172987192630423</v>
      </c>
      <c r="M62" s="620">
        <v>40.37824977406548</v>
      </c>
      <c r="N62" s="620">
        <v>50.003231870676402</v>
      </c>
      <c r="O62" s="620">
        <v>85.612513921039763</v>
      </c>
      <c r="P62" s="620">
        <v>46.534568698955276</v>
      </c>
      <c r="Q62" s="285"/>
      <c r="R62" s="285"/>
      <c r="S62" s="285"/>
      <c r="T62" s="285"/>
      <c r="U62" s="285"/>
      <c r="V62" s="285"/>
      <c r="W62" s="285"/>
      <c r="X62" s="285"/>
      <c r="Y62" s="285"/>
      <c r="Z62" s="285"/>
      <c r="AA62" s="285"/>
      <c r="AB62" s="285"/>
      <c r="AC62" s="285"/>
      <c r="AD62" s="285"/>
    </row>
    <row r="63" spans="1:30" s="121" customFormat="1" ht="14.25" customHeight="1">
      <c r="A63" s="473"/>
      <c r="B63" s="456" t="s">
        <v>232</v>
      </c>
      <c r="C63" s="617">
        <v>20.667224140588988</v>
      </c>
      <c r="D63" s="617">
        <v>20.511102078236902</v>
      </c>
      <c r="E63" s="617">
        <v>2.7950995990142018</v>
      </c>
      <c r="F63" s="617">
        <v>1.9090124360818059</v>
      </c>
      <c r="G63" s="617">
        <v>0.98865924782615155</v>
      </c>
      <c r="H63" s="617">
        <v>48.21095823475374</v>
      </c>
      <c r="I63" s="617">
        <v>1.5879019148306668</v>
      </c>
      <c r="J63" s="617">
        <v>9.514053316463535</v>
      </c>
      <c r="K63" s="617">
        <v>82.511384013475293</v>
      </c>
      <c r="L63" s="617">
        <v>53.414868311502502</v>
      </c>
      <c r="M63" s="617">
        <v>40.834614922645116</v>
      </c>
      <c r="N63" s="617">
        <v>50.855896364652217</v>
      </c>
      <c r="O63" s="617">
        <v>88.936578127574222</v>
      </c>
      <c r="P63" s="617">
        <v>49.673019100691938</v>
      </c>
      <c r="Q63" s="285"/>
      <c r="R63" s="285"/>
      <c r="S63" s="285"/>
      <c r="T63" s="285"/>
      <c r="U63" s="285"/>
      <c r="V63" s="285"/>
      <c r="W63" s="285"/>
      <c r="X63" s="285"/>
      <c r="Y63" s="285"/>
      <c r="Z63" s="285"/>
      <c r="AA63" s="285"/>
      <c r="AB63" s="285"/>
      <c r="AC63" s="285"/>
      <c r="AD63" s="285"/>
    </row>
    <row r="64" spans="1:30">
      <c r="A64" s="607"/>
      <c r="B64" s="607"/>
      <c r="C64" s="608"/>
      <c r="D64" s="608"/>
      <c r="E64" s="608"/>
      <c r="F64" s="608"/>
      <c r="G64" s="608"/>
      <c r="H64" s="608"/>
      <c r="I64" s="608"/>
      <c r="J64" s="608"/>
      <c r="K64" s="608"/>
      <c r="L64" s="608"/>
      <c r="M64" s="608"/>
      <c r="N64" s="608"/>
      <c r="O64" s="608"/>
      <c r="P64" s="608"/>
    </row>
    <row r="65" spans="1:16">
      <c r="A65" s="491" t="s">
        <v>195</v>
      </c>
    </row>
    <row r="66" spans="1:16">
      <c r="A66" s="79"/>
      <c r="C66" s="71"/>
      <c r="D66" s="71"/>
      <c r="E66" s="71"/>
      <c r="F66" s="71"/>
      <c r="G66" s="71"/>
      <c r="H66" s="71"/>
      <c r="I66" s="71"/>
      <c r="J66" s="71"/>
      <c r="K66" s="71"/>
      <c r="L66" s="71"/>
      <c r="M66" s="71"/>
      <c r="N66" s="71"/>
      <c r="O66" s="71"/>
      <c r="P66" s="71"/>
    </row>
    <row r="67" spans="1:16">
      <c r="A67" s="475" t="s">
        <v>244</v>
      </c>
      <c r="C67" s="537"/>
      <c r="D67" s="537"/>
      <c r="E67" s="537"/>
      <c r="F67" s="537"/>
      <c r="G67" s="71"/>
      <c r="H67" s="71"/>
      <c r="I67" s="71"/>
      <c r="J67" s="71"/>
      <c r="K67" s="71"/>
      <c r="L67" s="71"/>
      <c r="M67" s="71"/>
      <c r="N67" s="71"/>
      <c r="O67" s="71"/>
      <c r="P67" s="71"/>
    </row>
    <row r="68" spans="1:16">
      <c r="A68" s="475" t="s">
        <v>245</v>
      </c>
    </row>
    <row r="69" spans="1:16">
      <c r="A69" s="488" t="s">
        <v>168</v>
      </c>
    </row>
  </sheetData>
  <sheetProtection insertColumns="0" insertRows="0" deleteColumns="0" deleteRows="0"/>
  <mergeCells count="9">
    <mergeCell ref="U2:AA2"/>
    <mergeCell ref="A1:G1"/>
    <mergeCell ref="H1:L1"/>
    <mergeCell ref="M4:P4"/>
    <mergeCell ref="F4:H4"/>
    <mergeCell ref="A3:P3"/>
    <mergeCell ref="A4:B5"/>
    <mergeCell ref="C4:E4"/>
    <mergeCell ref="I4:L4"/>
  </mergeCells>
  <printOptions horizontalCentered="1"/>
  <pageMargins left="0.43" right="0.41"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3"/>
  <sheetViews>
    <sheetView zoomScaleNormal="100" workbookViewId="0">
      <pane ySplit="3" topLeftCell="A48" activePane="bottomLeft" state="frozen"/>
      <selection activeCell="G153" sqref="G153"/>
      <selection pane="bottomLeft" sqref="A1:E1"/>
    </sheetView>
  </sheetViews>
  <sheetFormatPr defaultColWidth="9.1796875" defaultRowHeight="13"/>
  <cols>
    <col min="1" max="1" width="6.81640625" style="65" customWidth="1"/>
    <col min="2" max="2" width="6.6328125" style="65" customWidth="1"/>
    <col min="3" max="5" width="25.81640625" style="65" customWidth="1"/>
    <col min="6" max="16384" width="9.1796875" style="65"/>
  </cols>
  <sheetData>
    <row r="1" spans="1:8">
      <c r="A1" s="716" t="s">
        <v>268</v>
      </c>
      <c r="B1" s="716"/>
      <c r="C1" s="716"/>
      <c r="D1" s="716"/>
      <c r="E1" s="716"/>
    </row>
    <row r="2" spans="1:8">
      <c r="A2" s="750" t="s">
        <v>97</v>
      </c>
      <c r="B2" s="750"/>
      <c r="C2" s="750"/>
      <c r="D2" s="750"/>
      <c r="E2" s="750"/>
    </row>
    <row r="3" spans="1:8" s="121" customFormat="1" ht="15" customHeight="1">
      <c r="A3" s="735" t="s">
        <v>98</v>
      </c>
      <c r="B3" s="739"/>
      <c r="C3" s="678" t="s">
        <v>269</v>
      </c>
      <c r="D3" s="520" t="s">
        <v>50</v>
      </c>
      <c r="E3" s="520" t="s">
        <v>270</v>
      </c>
    </row>
    <row r="4" spans="1:8" s="121" customFormat="1" ht="14.5">
      <c r="A4" s="471">
        <v>2011</v>
      </c>
      <c r="B4" s="454" t="s">
        <v>231</v>
      </c>
      <c r="C4" s="263">
        <v>1748.38</v>
      </c>
      <c r="D4" s="263">
        <v>1208.02</v>
      </c>
      <c r="E4" s="294">
        <v>1441.25</v>
      </c>
      <c r="F4" s="120"/>
      <c r="G4" s="120"/>
      <c r="H4" s="120"/>
    </row>
    <row r="5" spans="1:8" s="121" customFormat="1" ht="14.5">
      <c r="A5" s="472"/>
      <c r="B5" s="455" t="s">
        <v>232</v>
      </c>
      <c r="C5" s="266">
        <v>1808.49</v>
      </c>
      <c r="D5" s="266">
        <v>1267.95</v>
      </c>
      <c r="E5" s="295">
        <v>1485.4</v>
      </c>
      <c r="F5" s="120"/>
      <c r="G5" s="120"/>
      <c r="H5" s="120"/>
    </row>
    <row r="6" spans="1:8" s="121" customFormat="1" ht="14.5">
      <c r="A6" s="472"/>
      <c r="B6" s="455" t="s">
        <v>233</v>
      </c>
      <c r="C6" s="266">
        <v>1840.59</v>
      </c>
      <c r="D6" s="266">
        <v>1279.53</v>
      </c>
      <c r="E6" s="295">
        <v>1525.06</v>
      </c>
      <c r="F6" s="120"/>
      <c r="G6" s="120"/>
      <c r="H6" s="120"/>
    </row>
    <row r="7" spans="1:8" s="121" customFormat="1" ht="14.5">
      <c r="A7" s="473"/>
      <c r="B7" s="456" t="s">
        <v>234</v>
      </c>
      <c r="C7" s="270">
        <v>1931.93</v>
      </c>
      <c r="D7" s="270">
        <v>1343.11</v>
      </c>
      <c r="E7" s="296">
        <v>1561.82</v>
      </c>
      <c r="F7" s="120"/>
      <c r="G7" s="120"/>
      <c r="H7" s="120"/>
    </row>
    <row r="8" spans="1:8" s="121" customFormat="1" ht="14.5">
      <c r="A8" s="472">
        <v>2012</v>
      </c>
      <c r="B8" s="455" t="s">
        <v>231</v>
      </c>
      <c r="C8" s="266">
        <v>2006.58</v>
      </c>
      <c r="D8" s="266">
        <v>1385.16</v>
      </c>
      <c r="E8" s="263">
        <v>1613.21</v>
      </c>
      <c r="F8" s="120"/>
      <c r="G8" s="120"/>
      <c r="H8" s="120"/>
    </row>
    <row r="9" spans="1:8" s="121" customFormat="1" ht="14.5">
      <c r="A9" s="472"/>
      <c r="B9" s="455" t="s">
        <v>232</v>
      </c>
      <c r="C9" s="266">
        <v>2028.16</v>
      </c>
      <c r="D9" s="266">
        <v>1382.45</v>
      </c>
      <c r="E9" s="266">
        <v>1655.6</v>
      </c>
      <c r="F9" s="120"/>
      <c r="G9" s="120"/>
      <c r="H9" s="120"/>
    </row>
    <row r="10" spans="1:8" s="121" customFormat="1" ht="14.5">
      <c r="A10" s="472"/>
      <c r="B10" s="455" t="s">
        <v>233</v>
      </c>
      <c r="C10" s="266">
        <v>2071.71</v>
      </c>
      <c r="D10" s="266">
        <v>1402.7</v>
      </c>
      <c r="E10" s="266">
        <v>1691.93</v>
      </c>
      <c r="F10" s="120"/>
      <c r="G10" s="120"/>
      <c r="H10" s="120"/>
    </row>
    <row r="11" spans="1:8" s="121" customFormat="1" ht="14.5">
      <c r="A11" s="472"/>
      <c r="B11" s="455" t="s">
        <v>234</v>
      </c>
      <c r="C11" s="266">
        <v>2040.47</v>
      </c>
      <c r="D11" s="266">
        <v>1361.58</v>
      </c>
      <c r="E11" s="266">
        <v>1700.54</v>
      </c>
      <c r="F11" s="120"/>
      <c r="G11" s="120"/>
      <c r="H11" s="120"/>
    </row>
    <row r="12" spans="1:8" s="121" customFormat="1" ht="14.5">
      <c r="A12" s="471">
        <v>2013</v>
      </c>
      <c r="B12" s="453" t="s">
        <v>231</v>
      </c>
      <c r="C12" s="263">
        <v>2121.67</v>
      </c>
      <c r="D12" s="263">
        <v>1428.45</v>
      </c>
      <c r="E12" s="263">
        <v>1707.6</v>
      </c>
      <c r="F12" s="120"/>
      <c r="G12" s="120"/>
      <c r="H12" s="120"/>
    </row>
    <row r="13" spans="1:8" s="121" customFormat="1" ht="14.5">
      <c r="A13" s="472"/>
      <c r="B13" s="450" t="s">
        <v>232</v>
      </c>
      <c r="C13" s="266">
        <v>2127.4699999999998</v>
      </c>
      <c r="D13" s="266">
        <v>1420.18</v>
      </c>
      <c r="E13" s="266">
        <v>1736.01</v>
      </c>
      <c r="F13" s="120"/>
      <c r="G13" s="120"/>
      <c r="H13" s="120"/>
    </row>
    <row r="14" spans="1:8" s="121" customFormat="1" ht="14.5">
      <c r="A14" s="472"/>
      <c r="B14" s="450" t="s">
        <v>233</v>
      </c>
      <c r="C14" s="269">
        <v>2140.4899999999998</v>
      </c>
      <c r="D14" s="269">
        <v>1416.18</v>
      </c>
      <c r="E14" s="269">
        <v>1776.03</v>
      </c>
      <c r="F14" s="120"/>
      <c r="G14" s="120"/>
      <c r="H14" s="120"/>
    </row>
    <row r="15" spans="1:8" s="121" customFormat="1" ht="14.5">
      <c r="A15" s="473"/>
      <c r="B15" s="452" t="s">
        <v>234</v>
      </c>
      <c r="C15" s="273">
        <v>2262.5700000000002</v>
      </c>
      <c r="D15" s="273">
        <v>1535.33</v>
      </c>
      <c r="E15" s="273">
        <v>1799.24</v>
      </c>
      <c r="F15" s="120"/>
      <c r="G15" s="120"/>
      <c r="H15" s="120"/>
    </row>
    <row r="16" spans="1:8" s="121" customFormat="1" ht="14.5">
      <c r="A16" s="471">
        <v>2014</v>
      </c>
      <c r="B16" s="454" t="s">
        <v>231</v>
      </c>
      <c r="C16" s="269">
        <v>2140.48</v>
      </c>
      <c r="D16" s="269">
        <v>1450.37</v>
      </c>
      <c r="E16" s="269">
        <v>1806.82</v>
      </c>
      <c r="F16" s="120"/>
      <c r="G16" s="120"/>
      <c r="H16" s="120"/>
    </row>
    <row r="17" spans="1:8" s="121" customFormat="1" ht="14.5">
      <c r="A17" s="472"/>
      <c r="B17" s="455" t="s">
        <v>232</v>
      </c>
      <c r="C17" s="269">
        <v>2119.1999999999998</v>
      </c>
      <c r="D17" s="269">
        <v>1458.86</v>
      </c>
      <c r="E17" s="269">
        <v>1820.4</v>
      </c>
      <c r="F17" s="120"/>
      <c r="G17" s="120"/>
      <c r="H17" s="120"/>
    </row>
    <row r="18" spans="1:8" s="121" customFormat="1" ht="14.5">
      <c r="A18" s="472"/>
      <c r="B18" s="455" t="s">
        <v>233</v>
      </c>
      <c r="C18" s="269">
        <v>2121.1799999999998</v>
      </c>
      <c r="D18" s="269">
        <v>1491.17</v>
      </c>
      <c r="E18" s="269">
        <v>1866.76</v>
      </c>
      <c r="F18" s="120"/>
      <c r="G18" s="120"/>
      <c r="H18" s="120"/>
    </row>
    <row r="19" spans="1:8" s="121" customFormat="1" ht="14.5">
      <c r="A19" s="473"/>
      <c r="B19" s="456" t="s">
        <v>234</v>
      </c>
      <c r="C19" s="273">
        <v>2344.9699999999998</v>
      </c>
      <c r="D19" s="273">
        <v>1601.95</v>
      </c>
      <c r="E19" s="273">
        <v>2009.11</v>
      </c>
      <c r="F19" s="120"/>
      <c r="G19" s="120"/>
      <c r="H19" s="120"/>
    </row>
    <row r="20" spans="1:8" s="121" customFormat="1" ht="14.5">
      <c r="A20" s="472">
        <v>2015</v>
      </c>
      <c r="B20" s="455" t="s">
        <v>231</v>
      </c>
      <c r="C20" s="269">
        <v>2132.1799999999998</v>
      </c>
      <c r="D20" s="269">
        <v>1557.8</v>
      </c>
      <c r="E20" s="265">
        <v>1843.05</v>
      </c>
      <c r="F20" s="120"/>
      <c r="G20" s="120"/>
      <c r="H20" s="120"/>
    </row>
    <row r="21" spans="1:8" s="121" customFormat="1" ht="14.5">
      <c r="A21" s="472"/>
      <c r="B21" s="450" t="s">
        <v>232</v>
      </c>
      <c r="C21" s="269">
        <v>2176.94</v>
      </c>
      <c r="D21" s="269">
        <v>1584.98</v>
      </c>
      <c r="E21" s="269">
        <v>1908.53</v>
      </c>
      <c r="F21" s="120"/>
      <c r="G21" s="120"/>
      <c r="H21" s="120"/>
    </row>
    <row r="22" spans="1:8" s="121" customFormat="1" ht="14.5">
      <c r="A22" s="472"/>
      <c r="B22" s="450" t="s">
        <v>233</v>
      </c>
      <c r="C22" s="297">
        <v>2124.5700000000002</v>
      </c>
      <c r="D22" s="297">
        <v>1571.48</v>
      </c>
      <c r="E22" s="269">
        <v>1864.41</v>
      </c>
      <c r="F22" s="120"/>
      <c r="G22" s="120"/>
      <c r="H22" s="120"/>
    </row>
    <row r="23" spans="1:8" s="121" customFormat="1" ht="14.5">
      <c r="A23" s="473"/>
      <c r="B23" s="452" t="s">
        <v>234</v>
      </c>
      <c r="C23" s="298">
        <v>2262.9299999999998</v>
      </c>
      <c r="D23" s="298">
        <v>1644.71</v>
      </c>
      <c r="E23" s="273">
        <v>1869.26</v>
      </c>
      <c r="F23" s="120"/>
      <c r="G23" s="120"/>
      <c r="H23" s="120"/>
    </row>
    <row r="24" spans="1:8" s="121" customFormat="1" ht="14.5">
      <c r="A24" s="471">
        <v>2016</v>
      </c>
      <c r="B24" s="453" t="s">
        <v>231</v>
      </c>
      <c r="C24" s="265">
        <v>2120.08</v>
      </c>
      <c r="D24" s="265">
        <v>1529.78</v>
      </c>
      <c r="E24" s="269">
        <v>1778.12</v>
      </c>
      <c r="F24" s="120"/>
      <c r="G24" s="120"/>
      <c r="H24" s="120"/>
    </row>
    <row r="25" spans="1:8" s="121" customFormat="1" ht="14.5">
      <c r="A25" s="472"/>
      <c r="B25" s="450" t="s">
        <v>232</v>
      </c>
      <c r="C25" s="269">
        <v>2094.58</v>
      </c>
      <c r="D25" s="269">
        <v>1587.89</v>
      </c>
      <c r="E25" s="269">
        <v>1732.76</v>
      </c>
      <c r="F25" s="120"/>
      <c r="G25" s="120"/>
      <c r="H25" s="120"/>
    </row>
    <row r="26" spans="1:8" s="121" customFormat="1" ht="14.5">
      <c r="A26" s="472"/>
      <c r="B26" s="450" t="s">
        <v>233</v>
      </c>
      <c r="C26" s="269">
        <v>2077.13</v>
      </c>
      <c r="D26" s="269">
        <v>1584.46</v>
      </c>
      <c r="E26" s="269">
        <v>1706.39</v>
      </c>
      <c r="F26" s="120"/>
      <c r="G26" s="120"/>
      <c r="H26" s="120"/>
    </row>
    <row r="27" spans="1:8" s="121" customFormat="1" ht="14.5">
      <c r="A27" s="473"/>
      <c r="B27" s="452" t="s">
        <v>234</v>
      </c>
      <c r="C27" s="273">
        <v>2089.27</v>
      </c>
      <c r="D27" s="273">
        <v>1622</v>
      </c>
      <c r="E27" s="273">
        <v>1664.25</v>
      </c>
      <c r="F27" s="120"/>
      <c r="G27" s="120"/>
      <c r="H27" s="120"/>
    </row>
    <row r="28" spans="1:8" s="121" customFormat="1" ht="14.5">
      <c r="A28" s="471">
        <v>2017</v>
      </c>
      <c r="B28" s="453" t="s">
        <v>231</v>
      </c>
      <c r="C28" s="265">
        <v>2139.2399999999998</v>
      </c>
      <c r="D28" s="265">
        <v>1686.35</v>
      </c>
      <c r="E28" s="265">
        <v>1634.22</v>
      </c>
      <c r="F28" s="120"/>
      <c r="G28" s="120"/>
      <c r="H28" s="120"/>
    </row>
    <row r="29" spans="1:8" s="121" customFormat="1" ht="14.5">
      <c r="A29" s="472"/>
      <c r="B29" s="450" t="s">
        <v>232</v>
      </c>
      <c r="C29" s="269">
        <v>2115.39</v>
      </c>
      <c r="D29" s="269">
        <v>1775.85</v>
      </c>
      <c r="E29" s="269">
        <v>1612.25</v>
      </c>
      <c r="F29" s="120"/>
      <c r="G29" s="120"/>
      <c r="H29" s="120"/>
    </row>
    <row r="30" spans="1:8" s="121" customFormat="1" ht="14.5">
      <c r="A30" s="472"/>
      <c r="B30" s="450" t="s">
        <v>233</v>
      </c>
      <c r="C30" s="269">
        <v>2130.61</v>
      </c>
      <c r="D30" s="269">
        <v>1782.54</v>
      </c>
      <c r="E30" s="269">
        <v>1600.15</v>
      </c>
      <c r="F30" s="120"/>
      <c r="G30" s="120"/>
      <c r="H30" s="120"/>
    </row>
    <row r="31" spans="1:8" s="121" customFormat="1" ht="14.5">
      <c r="A31" s="473"/>
      <c r="B31" s="452" t="s">
        <v>234</v>
      </c>
      <c r="C31" s="273">
        <v>2089.84</v>
      </c>
      <c r="D31" s="273">
        <v>1767.4</v>
      </c>
      <c r="E31" s="273">
        <v>1556.38</v>
      </c>
      <c r="F31" s="120"/>
      <c r="G31" s="120"/>
      <c r="H31" s="120"/>
    </row>
    <row r="32" spans="1:8" s="121" customFormat="1" ht="14.25" customHeight="1">
      <c r="A32" s="471">
        <v>2018</v>
      </c>
      <c r="B32" s="453" t="s">
        <v>231</v>
      </c>
      <c r="C32" s="265">
        <v>2071.34</v>
      </c>
      <c r="D32" s="265">
        <v>1764.58</v>
      </c>
      <c r="E32" s="265">
        <v>1538.02</v>
      </c>
      <c r="F32" s="120"/>
      <c r="G32" s="120"/>
      <c r="H32" s="120"/>
    </row>
    <row r="33" spans="1:8" s="121" customFormat="1" ht="14.25" customHeight="1">
      <c r="A33" s="472"/>
      <c r="B33" s="455" t="s">
        <v>232</v>
      </c>
      <c r="C33" s="269">
        <v>2030.02</v>
      </c>
      <c r="D33" s="269">
        <v>1714.83</v>
      </c>
      <c r="E33" s="269">
        <v>1548.01</v>
      </c>
      <c r="F33" s="120"/>
      <c r="G33" s="120"/>
      <c r="H33" s="120"/>
    </row>
    <row r="34" spans="1:8" s="121" customFormat="1" ht="14.25" customHeight="1">
      <c r="A34" s="472"/>
      <c r="B34" s="455" t="s">
        <v>233</v>
      </c>
      <c r="C34" s="269">
        <v>2014.92</v>
      </c>
      <c r="D34" s="269">
        <v>1687.31</v>
      </c>
      <c r="E34" s="269">
        <v>1550.67</v>
      </c>
      <c r="F34" s="120"/>
      <c r="G34" s="120"/>
      <c r="H34" s="120"/>
    </row>
    <row r="35" spans="1:8" s="121" customFormat="1" ht="14.25" customHeight="1">
      <c r="A35" s="472"/>
      <c r="B35" s="455" t="s">
        <v>234</v>
      </c>
      <c r="C35" s="273">
        <v>1988.02</v>
      </c>
      <c r="D35" s="273">
        <v>1661.02</v>
      </c>
      <c r="E35" s="273">
        <v>1538.59</v>
      </c>
      <c r="F35" s="120"/>
      <c r="G35" s="120"/>
      <c r="H35" s="120"/>
    </row>
    <row r="36" spans="1:8" s="121" customFormat="1" ht="14.25" customHeight="1">
      <c r="A36" s="471">
        <v>2019</v>
      </c>
      <c r="B36" s="454" t="s">
        <v>231</v>
      </c>
      <c r="C36" s="265">
        <v>1937.36</v>
      </c>
      <c r="D36" s="265">
        <v>1592.75</v>
      </c>
      <c r="E36" s="265">
        <v>1533.84</v>
      </c>
      <c r="F36" s="120"/>
      <c r="G36" s="120"/>
      <c r="H36" s="120"/>
    </row>
    <row r="37" spans="1:8" s="121" customFormat="1" ht="14.25" customHeight="1">
      <c r="A37" s="472"/>
      <c r="B37" s="455" t="s">
        <v>232</v>
      </c>
      <c r="C37" s="269">
        <v>1849.59</v>
      </c>
      <c r="D37" s="269">
        <v>1511.3</v>
      </c>
      <c r="E37" s="269">
        <v>1530.16</v>
      </c>
      <c r="F37" s="120"/>
      <c r="G37" s="120"/>
      <c r="H37" s="120"/>
    </row>
    <row r="38" spans="1:8" s="121" customFormat="1" ht="14.25" customHeight="1">
      <c r="A38" s="472"/>
      <c r="B38" s="455" t="s">
        <v>233</v>
      </c>
      <c r="C38" s="269">
        <v>1857.88</v>
      </c>
      <c r="D38" s="269">
        <v>1500.42</v>
      </c>
      <c r="E38" s="269">
        <v>1529.11</v>
      </c>
      <c r="F38" s="120"/>
      <c r="G38" s="120"/>
      <c r="H38" s="120"/>
    </row>
    <row r="39" spans="1:8" s="121" customFormat="1" ht="14.25" customHeight="1">
      <c r="A39" s="473"/>
      <c r="B39" s="456" t="s">
        <v>234</v>
      </c>
      <c r="C39" s="273">
        <v>1910.67</v>
      </c>
      <c r="D39" s="273">
        <v>1572</v>
      </c>
      <c r="E39" s="273">
        <v>1521.9</v>
      </c>
      <c r="F39" s="120"/>
      <c r="G39" s="120"/>
      <c r="H39" s="120"/>
    </row>
    <row r="40" spans="1:8" s="121" customFormat="1" ht="14.25" customHeight="1">
      <c r="A40" s="471">
        <v>2020</v>
      </c>
      <c r="B40" s="454" t="s">
        <v>231</v>
      </c>
      <c r="C40" s="265">
        <v>1929.20325153</v>
      </c>
      <c r="D40" s="265">
        <v>1581.3383874599997</v>
      </c>
      <c r="E40" s="265">
        <v>1530.0597971599998</v>
      </c>
      <c r="F40" s="120"/>
      <c r="G40" s="120"/>
      <c r="H40" s="120"/>
    </row>
    <row r="41" spans="1:8" s="121" customFormat="1" ht="14.25" customHeight="1">
      <c r="A41" s="472"/>
      <c r="B41" s="455" t="s">
        <v>232</v>
      </c>
      <c r="C41" s="269">
        <v>1951.3869999999999</v>
      </c>
      <c r="D41" s="269">
        <v>1662.952</v>
      </c>
      <c r="E41" s="269">
        <v>1538.3779999999999</v>
      </c>
      <c r="F41" s="120"/>
      <c r="G41" s="120"/>
      <c r="H41" s="120"/>
    </row>
    <row r="42" spans="1:8" s="121" customFormat="1" ht="14.25" customHeight="1">
      <c r="A42" s="472"/>
      <c r="B42" s="455" t="s">
        <v>233</v>
      </c>
      <c r="C42" s="269">
        <v>2008.5160000000001</v>
      </c>
      <c r="D42" s="269">
        <v>1708.1659999999999</v>
      </c>
      <c r="E42" s="269">
        <v>1544.356</v>
      </c>
      <c r="F42" s="120"/>
      <c r="G42" s="120"/>
      <c r="H42" s="120"/>
    </row>
    <row r="43" spans="1:8" s="121" customFormat="1" ht="14.25" customHeight="1">
      <c r="A43" s="473"/>
      <c r="B43" s="456" t="s">
        <v>234</v>
      </c>
      <c r="C43" s="273">
        <v>2096.2629999999999</v>
      </c>
      <c r="D43" s="273">
        <v>1784.0909999999999</v>
      </c>
      <c r="E43" s="273">
        <v>1558.155</v>
      </c>
      <c r="F43" s="120"/>
      <c r="G43" s="120"/>
      <c r="H43" s="120"/>
    </row>
    <row r="44" spans="1:8" s="121" customFormat="1" ht="14.25" customHeight="1">
      <c r="A44" s="471">
        <v>2021</v>
      </c>
      <c r="B44" s="454" t="s">
        <v>231</v>
      </c>
      <c r="C44" s="265">
        <v>2151.9810000000002</v>
      </c>
      <c r="D44" s="265">
        <v>1838.2559999999999</v>
      </c>
      <c r="E44" s="265">
        <v>1579.9739999999999</v>
      </c>
      <c r="F44" s="120"/>
      <c r="G44" s="120"/>
      <c r="H44" s="120"/>
    </row>
    <row r="45" spans="1:8" s="121" customFormat="1" ht="14.25" customHeight="1">
      <c r="A45" s="472"/>
      <c r="B45" s="455" t="s">
        <v>232</v>
      </c>
      <c r="C45" s="269">
        <v>2216.8869000100099</v>
      </c>
      <c r="D45" s="269">
        <v>1907.20196839</v>
      </c>
      <c r="E45" s="269">
        <v>1616.00930997</v>
      </c>
      <c r="F45" s="120"/>
      <c r="G45" s="120"/>
      <c r="H45" s="120"/>
    </row>
    <row r="46" spans="1:8" s="121" customFormat="1" ht="14.25" customHeight="1">
      <c r="A46" s="472"/>
      <c r="B46" s="455" t="s">
        <v>233</v>
      </c>
      <c r="C46" s="269">
        <v>2201.7890418902398</v>
      </c>
      <c r="D46" s="269">
        <v>1905.59700023</v>
      </c>
      <c r="E46" s="269">
        <v>1606.1055326799999</v>
      </c>
      <c r="F46" s="120"/>
      <c r="G46" s="120"/>
      <c r="H46" s="120"/>
    </row>
    <row r="47" spans="1:8" s="121" customFormat="1" ht="14.25" customHeight="1">
      <c r="A47" s="473"/>
      <c r="B47" s="456" t="s">
        <v>234</v>
      </c>
      <c r="C47" s="581">
        <v>2233.06580346088</v>
      </c>
      <c r="D47" s="273">
        <v>1918.12581907</v>
      </c>
      <c r="E47" s="273">
        <v>1570.75052164</v>
      </c>
      <c r="F47" s="120"/>
      <c r="G47" s="120"/>
      <c r="H47" s="120"/>
    </row>
    <row r="48" spans="1:8" s="121" customFormat="1" ht="14.25" customHeight="1">
      <c r="A48" s="471">
        <v>2022</v>
      </c>
      <c r="B48" s="454" t="s">
        <v>231</v>
      </c>
      <c r="C48" s="582">
        <v>2252.3126393623202</v>
      </c>
      <c r="D48" s="582">
        <v>1929.3469489500001</v>
      </c>
      <c r="E48" s="582">
        <v>1562.98934399</v>
      </c>
      <c r="F48" s="120"/>
      <c r="G48" s="120"/>
      <c r="H48" s="120"/>
    </row>
    <row r="49" spans="1:8" s="121" customFormat="1" ht="14.25" customHeight="1">
      <c r="A49" s="472"/>
      <c r="B49" s="455" t="s">
        <v>232</v>
      </c>
      <c r="C49" s="269">
        <v>2160.8518893891801</v>
      </c>
      <c r="D49" s="269">
        <v>1838.14493247</v>
      </c>
      <c r="E49" s="269">
        <v>1571.39030411</v>
      </c>
      <c r="F49" s="120"/>
      <c r="G49" s="120"/>
      <c r="H49" s="120"/>
    </row>
    <row r="50" spans="1:8" s="121" customFormat="1" ht="14.25" customHeight="1">
      <c r="A50" s="472"/>
      <c r="B50" s="455" t="s">
        <v>233</v>
      </c>
      <c r="C50" s="269">
        <v>2141.6999370747358</v>
      </c>
      <c r="D50" s="269">
        <v>1817.6400520899997</v>
      </c>
      <c r="E50" s="269">
        <v>1583.349677819999</v>
      </c>
      <c r="F50" s="120"/>
      <c r="G50" s="120"/>
      <c r="H50" s="120"/>
    </row>
    <row r="51" spans="1:8" s="121" customFormat="1" ht="14.25" customHeight="1">
      <c r="A51" s="473"/>
      <c r="B51" s="456" t="s">
        <v>234</v>
      </c>
      <c r="C51" s="581">
        <v>1998.73023683769</v>
      </c>
      <c r="D51" s="581">
        <v>1635.06806095</v>
      </c>
      <c r="E51" s="581">
        <v>1596.4275158600001</v>
      </c>
      <c r="F51" s="120"/>
      <c r="G51" s="120"/>
      <c r="H51" s="120"/>
    </row>
    <row r="52" spans="1:8" s="121" customFormat="1" ht="14.25" customHeight="1">
      <c r="A52" s="471">
        <v>2023</v>
      </c>
      <c r="B52" s="454" t="s">
        <v>231</v>
      </c>
      <c r="C52" s="265">
        <v>1931.8303225570701</v>
      </c>
      <c r="D52" s="265">
        <v>1573.0235080099999</v>
      </c>
      <c r="E52" s="265">
        <v>1608.40594609001</v>
      </c>
      <c r="F52" s="120"/>
      <c r="G52" s="120"/>
      <c r="H52" s="120"/>
    </row>
    <row r="53" spans="1:8" s="121" customFormat="1" ht="14.25" customHeight="1">
      <c r="A53" s="472"/>
      <c r="B53" s="455" t="s">
        <v>232</v>
      </c>
      <c r="C53" s="269">
        <v>1927.57512606501</v>
      </c>
      <c r="D53" s="269">
        <v>1602.6167865899999</v>
      </c>
      <c r="E53" s="269">
        <v>1645.32327764001</v>
      </c>
      <c r="F53" s="120"/>
      <c r="G53" s="120"/>
      <c r="H53" s="120"/>
    </row>
    <row r="54" spans="1:8" s="121" customFormat="1" ht="14.25" customHeight="1">
      <c r="A54" s="472"/>
      <c r="B54" s="455" t="s">
        <v>233</v>
      </c>
      <c r="C54" s="269">
        <v>1985.7284783119401</v>
      </c>
      <c r="D54" s="269">
        <v>1658.0621748399999</v>
      </c>
      <c r="E54" s="269">
        <v>1676.4104339999999</v>
      </c>
      <c r="F54" s="120"/>
      <c r="G54" s="120"/>
      <c r="H54" s="120"/>
    </row>
    <row r="55" spans="1:8" s="121" customFormat="1" ht="14.25" customHeight="1">
      <c r="A55" s="473"/>
      <c r="B55" s="456" t="s">
        <v>234</v>
      </c>
      <c r="C55" s="273">
        <v>2089.4787060538001</v>
      </c>
      <c r="D55" s="273">
        <v>1733.6065491700001</v>
      </c>
      <c r="E55" s="273">
        <v>1702.30732289002</v>
      </c>
      <c r="F55" s="120"/>
      <c r="G55" s="120"/>
      <c r="H55" s="120"/>
    </row>
    <row r="56" spans="1:8" s="121" customFormat="1" ht="14.25" customHeight="1">
      <c r="A56" s="471">
        <v>2024</v>
      </c>
      <c r="B56" s="454" t="s">
        <v>231</v>
      </c>
      <c r="C56" s="265">
        <v>2096.6180162781802</v>
      </c>
      <c r="D56" s="265">
        <v>1735.73548822</v>
      </c>
      <c r="E56" s="265">
        <v>1718.7236720300057</v>
      </c>
      <c r="F56" s="120"/>
      <c r="G56" s="120"/>
      <c r="H56" s="120"/>
    </row>
    <row r="57" spans="1:8" s="121" customFormat="1" ht="14.25" customHeight="1">
      <c r="A57" s="472"/>
      <c r="B57" s="455" t="s">
        <v>232</v>
      </c>
      <c r="C57" s="269">
        <v>2098.6772668796498</v>
      </c>
      <c r="D57" s="269">
        <v>1754.27282769</v>
      </c>
      <c r="E57" s="269">
        <v>1770.32408779002</v>
      </c>
      <c r="F57" s="120"/>
      <c r="G57" s="120"/>
      <c r="H57" s="120"/>
    </row>
    <row r="58" spans="1:8" s="121" customFormat="1" ht="14.25" customHeight="1">
      <c r="A58" s="472"/>
      <c r="B58" s="455" t="s">
        <v>233</v>
      </c>
      <c r="C58" s="269">
        <v>2195.2757174643002</v>
      </c>
      <c r="D58" s="269">
        <v>1837.58538462</v>
      </c>
      <c r="E58" s="269">
        <v>1796.0486124200099</v>
      </c>
      <c r="F58" s="120"/>
      <c r="G58" s="120"/>
      <c r="H58" s="120"/>
    </row>
    <row r="59" spans="1:8" s="121" customFormat="1" ht="14.25" customHeight="1">
      <c r="A59" s="473"/>
      <c r="B59" s="456" t="s">
        <v>234</v>
      </c>
      <c r="C59" s="273">
        <v>2204.0774499005702</v>
      </c>
      <c r="D59" s="273">
        <v>1818.67776157</v>
      </c>
      <c r="E59" s="273">
        <v>1818.1947495100201</v>
      </c>
      <c r="F59" s="120"/>
      <c r="G59" s="120"/>
      <c r="H59" s="120"/>
    </row>
    <row r="60" spans="1:8" s="121" customFormat="1" ht="17.149999999999999" customHeight="1">
      <c r="A60" s="471">
        <v>2025</v>
      </c>
      <c r="B60" s="454" t="s">
        <v>231</v>
      </c>
      <c r="C60" s="265">
        <v>2199.9162107723</v>
      </c>
      <c r="D60" s="265">
        <v>1833.94973802</v>
      </c>
      <c r="E60" s="265">
        <v>1847.1033268700201</v>
      </c>
      <c r="F60" s="120"/>
      <c r="G60" s="120"/>
      <c r="H60" s="120"/>
    </row>
    <row r="61" spans="1:8" s="121" customFormat="1" ht="17.149999999999999" customHeight="1">
      <c r="A61" s="473"/>
      <c r="B61" s="456" t="s">
        <v>232</v>
      </c>
      <c r="C61" s="273">
        <v>2269.2740662219162</v>
      </c>
      <c r="D61" s="273">
        <v>1919.7751914800001</v>
      </c>
      <c r="E61" s="273">
        <v>1892.8307237400199</v>
      </c>
      <c r="F61" s="120"/>
      <c r="G61" s="120"/>
      <c r="H61" s="120"/>
    </row>
    <row r="62" spans="1:8">
      <c r="A62" s="67"/>
      <c r="B62" s="67"/>
      <c r="C62" s="84"/>
      <c r="D62" s="84"/>
      <c r="E62" s="84"/>
    </row>
    <row r="63" spans="1:8">
      <c r="A63" s="491" t="s">
        <v>195</v>
      </c>
      <c r="B63" s="475"/>
      <c r="C63" s="475"/>
    </row>
    <row r="64" spans="1:8">
      <c r="A64" s="475"/>
      <c r="B64" s="475"/>
      <c r="C64" s="521"/>
      <c r="D64" s="85"/>
      <c r="E64" s="85"/>
    </row>
    <row r="65" spans="1:5">
      <c r="A65" s="475" t="s">
        <v>119</v>
      </c>
      <c r="B65" s="475"/>
      <c r="C65" s="521"/>
      <c r="D65" s="85"/>
      <c r="E65" s="85"/>
    </row>
    <row r="66" spans="1:5">
      <c r="A66" s="475" t="s">
        <v>120</v>
      </c>
      <c r="B66" s="475"/>
      <c r="C66" s="521"/>
      <c r="D66" s="85"/>
      <c r="E66" s="85"/>
    </row>
    <row r="67" spans="1:5">
      <c r="A67" s="488" t="s">
        <v>168</v>
      </c>
      <c r="C67" s="85"/>
      <c r="D67" s="85"/>
      <c r="E67" s="85"/>
    </row>
    <row r="68" spans="1:5">
      <c r="C68" s="78"/>
      <c r="D68" s="78"/>
      <c r="E68" s="78"/>
    </row>
    <row r="69" spans="1:5">
      <c r="C69" s="78"/>
      <c r="D69" s="78"/>
      <c r="E69" s="78"/>
    </row>
    <row r="70" spans="1:5">
      <c r="C70" s="78"/>
      <c r="D70" s="491"/>
      <c r="E70" s="78"/>
    </row>
    <row r="71" spans="1:5">
      <c r="C71" s="78"/>
      <c r="D71" s="79"/>
      <c r="E71" s="78"/>
    </row>
    <row r="72" spans="1:5">
      <c r="D72" s="475"/>
    </row>
    <row r="73" spans="1:5">
      <c r="D73" s="475"/>
    </row>
  </sheetData>
  <sheetProtection formatCells="0" insertColumns="0" insertRows="0" deleteColumns="0" deleteRows="0"/>
  <mergeCells count="3">
    <mergeCell ref="A3:B3"/>
    <mergeCell ref="A2:E2"/>
    <mergeCell ref="A1:E1"/>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68"/>
  <sheetViews>
    <sheetView zoomScaleNormal="100" workbookViewId="0">
      <pane ySplit="5" topLeftCell="A54" activePane="bottomLeft" state="frozen"/>
      <selection activeCell="G153" sqref="G153"/>
      <selection pane="bottomLeft" sqref="A1:F1"/>
    </sheetView>
  </sheetViews>
  <sheetFormatPr defaultColWidth="9.1796875" defaultRowHeight="13"/>
  <cols>
    <col min="1" max="2" width="6.81640625" style="65" customWidth="1"/>
    <col min="3" max="3" width="14.81640625" style="65" customWidth="1"/>
    <col min="4" max="9" width="13.81640625" style="65" customWidth="1"/>
    <col min="10" max="16384" width="9.1796875" style="65"/>
  </cols>
  <sheetData>
    <row r="1" spans="1:11">
      <c r="A1" s="716" t="s">
        <v>271</v>
      </c>
      <c r="B1" s="716"/>
      <c r="C1" s="716"/>
      <c r="D1" s="716"/>
      <c r="E1" s="716"/>
      <c r="F1" s="716"/>
    </row>
    <row r="2" spans="1:11">
      <c r="A2" s="750" t="s">
        <v>97</v>
      </c>
      <c r="B2" s="750"/>
      <c r="C2" s="750"/>
      <c r="D2" s="750"/>
      <c r="E2" s="750"/>
      <c r="F2" s="750"/>
      <c r="G2" s="750"/>
      <c r="H2" s="750"/>
      <c r="I2" s="750"/>
    </row>
    <row r="3" spans="1:11" s="121" customFormat="1" ht="15" customHeight="1">
      <c r="A3" s="735" t="s">
        <v>98</v>
      </c>
      <c r="B3" s="739"/>
      <c r="C3" s="806" t="s">
        <v>269</v>
      </c>
      <c r="D3" s="807"/>
      <c r="E3" s="807"/>
      <c r="F3" s="807"/>
      <c r="G3" s="807"/>
      <c r="H3" s="807"/>
      <c r="I3" s="808"/>
    </row>
    <row r="4" spans="1:11" s="121" customFormat="1" ht="21" customHeight="1">
      <c r="A4" s="740"/>
      <c r="B4" s="741"/>
      <c r="C4" s="809" t="s">
        <v>102</v>
      </c>
      <c r="D4" s="803" t="s">
        <v>272</v>
      </c>
      <c r="E4" s="804"/>
      <c r="F4" s="805"/>
      <c r="G4" s="803" t="s">
        <v>273</v>
      </c>
      <c r="H4" s="804"/>
      <c r="I4" s="805"/>
    </row>
    <row r="5" spans="1:11" s="121" customFormat="1" ht="15" customHeight="1">
      <c r="A5" s="736"/>
      <c r="B5" s="742"/>
      <c r="C5" s="809"/>
      <c r="D5" s="522" t="s">
        <v>102</v>
      </c>
      <c r="E5" s="498" t="s">
        <v>274</v>
      </c>
      <c r="F5" s="498" t="s">
        <v>275</v>
      </c>
      <c r="G5" s="522" t="s">
        <v>102</v>
      </c>
      <c r="H5" s="498" t="s">
        <v>276</v>
      </c>
      <c r="I5" s="498" t="s">
        <v>277</v>
      </c>
    </row>
    <row r="6" spans="1:11" s="121" customFormat="1" ht="14.5">
      <c r="A6" s="528">
        <v>2011</v>
      </c>
      <c r="B6" s="454" t="s">
        <v>231</v>
      </c>
      <c r="C6" s="315">
        <f>D6+G6</f>
        <v>1018.84</v>
      </c>
      <c r="D6" s="313">
        <f>E6+F6</f>
        <v>834.72</v>
      </c>
      <c r="E6" s="299">
        <v>112.02</v>
      </c>
      <c r="F6" s="300">
        <v>722.7</v>
      </c>
      <c r="G6" s="301">
        <f>H6+I6</f>
        <v>184.12</v>
      </c>
      <c r="H6" s="300">
        <v>82.34</v>
      </c>
      <c r="I6" s="301">
        <v>101.78</v>
      </c>
      <c r="J6" s="236"/>
      <c r="K6" s="236"/>
    </row>
    <row r="7" spans="1:11" s="121" customFormat="1" ht="14.5">
      <c r="A7" s="526"/>
      <c r="B7" s="455" t="s">
        <v>232</v>
      </c>
      <c r="C7" s="302">
        <f>D7+G7</f>
        <v>1041.05</v>
      </c>
      <c r="D7" s="303">
        <f>E7+F7</f>
        <v>854.88</v>
      </c>
      <c r="E7" s="304">
        <v>108.25</v>
      </c>
      <c r="F7" s="305">
        <v>746.63</v>
      </c>
      <c r="G7" s="306">
        <f>H7+I7</f>
        <v>186.17000000000002</v>
      </c>
      <c r="H7" s="305">
        <v>86.4</v>
      </c>
      <c r="I7" s="306">
        <v>99.77</v>
      </c>
      <c r="J7" s="236"/>
      <c r="K7" s="236"/>
    </row>
    <row r="8" spans="1:11" s="121" customFormat="1" ht="14.5">
      <c r="A8" s="526"/>
      <c r="B8" s="455" t="s">
        <v>233</v>
      </c>
      <c r="C8" s="302">
        <f t="shared" ref="C8:C33" si="0">D8+G8</f>
        <v>1169.5500000000002</v>
      </c>
      <c r="D8" s="303">
        <f t="shared" ref="D8:D33" si="1">E8+F8</f>
        <v>840.85</v>
      </c>
      <c r="E8" s="304">
        <v>109</v>
      </c>
      <c r="F8" s="305">
        <v>731.85</v>
      </c>
      <c r="G8" s="306">
        <f t="shared" ref="G8:G33" si="2">H8+I8</f>
        <v>328.70000000000005</v>
      </c>
      <c r="H8" s="305">
        <v>192.27</v>
      </c>
      <c r="I8" s="306">
        <v>136.43</v>
      </c>
      <c r="J8" s="236"/>
      <c r="K8" s="236"/>
    </row>
    <row r="9" spans="1:11" s="121" customFormat="1" ht="14.5">
      <c r="A9" s="527"/>
      <c r="B9" s="456" t="s">
        <v>234</v>
      </c>
      <c r="C9" s="307">
        <f t="shared" si="0"/>
        <v>1186.0999999999999</v>
      </c>
      <c r="D9" s="307">
        <f t="shared" si="1"/>
        <v>850.87999999999988</v>
      </c>
      <c r="E9" s="308">
        <v>112.57</v>
      </c>
      <c r="F9" s="309">
        <v>738.31</v>
      </c>
      <c r="G9" s="310">
        <f t="shared" si="2"/>
        <v>335.22</v>
      </c>
      <c r="H9" s="309">
        <v>191.59</v>
      </c>
      <c r="I9" s="310">
        <v>143.63</v>
      </c>
      <c r="J9" s="236"/>
      <c r="K9" s="236"/>
    </row>
    <row r="10" spans="1:11" s="121" customFormat="1" ht="14.5">
      <c r="A10" s="526">
        <v>2012</v>
      </c>
      <c r="B10" s="455" t="s">
        <v>231</v>
      </c>
      <c r="C10" s="302">
        <f t="shared" si="0"/>
        <v>1235.55</v>
      </c>
      <c r="D10" s="303">
        <f t="shared" si="1"/>
        <v>877.4</v>
      </c>
      <c r="E10" s="304">
        <v>118.28</v>
      </c>
      <c r="F10" s="305">
        <v>759.12</v>
      </c>
      <c r="G10" s="306">
        <f t="shared" si="2"/>
        <v>358.15</v>
      </c>
      <c r="H10" s="305">
        <v>202.74</v>
      </c>
      <c r="I10" s="306">
        <v>155.41</v>
      </c>
      <c r="J10" s="236"/>
      <c r="K10" s="236"/>
    </row>
    <row r="11" spans="1:11" s="121" customFormat="1" ht="14.5">
      <c r="A11" s="526"/>
      <c r="B11" s="455" t="s">
        <v>232</v>
      </c>
      <c r="C11" s="302">
        <f t="shared" si="0"/>
        <v>1228.95</v>
      </c>
      <c r="D11" s="303">
        <f t="shared" si="1"/>
        <v>868.73</v>
      </c>
      <c r="E11" s="304">
        <v>116.37</v>
      </c>
      <c r="F11" s="305">
        <v>752.36</v>
      </c>
      <c r="G11" s="306">
        <f t="shared" si="2"/>
        <v>360.22</v>
      </c>
      <c r="H11" s="305">
        <v>204.68</v>
      </c>
      <c r="I11" s="306">
        <v>155.54</v>
      </c>
      <c r="J11" s="236"/>
      <c r="K11" s="236"/>
    </row>
    <row r="12" spans="1:11" s="121" customFormat="1" ht="14.5">
      <c r="A12" s="526"/>
      <c r="B12" s="455" t="s">
        <v>233</v>
      </c>
      <c r="C12" s="302">
        <f t="shared" si="0"/>
        <v>1230.3899999999999</v>
      </c>
      <c r="D12" s="303">
        <f t="shared" si="1"/>
        <v>878.75</v>
      </c>
      <c r="E12" s="304">
        <v>117.38</v>
      </c>
      <c r="F12" s="305">
        <v>761.37</v>
      </c>
      <c r="G12" s="306">
        <f t="shared" si="2"/>
        <v>351.64</v>
      </c>
      <c r="H12" s="305">
        <v>203.87</v>
      </c>
      <c r="I12" s="306">
        <v>147.77000000000001</v>
      </c>
      <c r="J12" s="236"/>
      <c r="K12" s="236"/>
    </row>
    <row r="13" spans="1:11" s="121" customFormat="1" ht="14.5">
      <c r="A13" s="526"/>
      <c r="B13" s="455" t="s">
        <v>234</v>
      </c>
      <c r="C13" s="307">
        <f t="shared" si="0"/>
        <v>1246</v>
      </c>
      <c r="D13" s="307">
        <f t="shared" si="1"/>
        <v>879</v>
      </c>
      <c r="E13" s="308">
        <v>120</v>
      </c>
      <c r="F13" s="309">
        <v>759</v>
      </c>
      <c r="G13" s="310">
        <f t="shared" si="2"/>
        <v>367</v>
      </c>
      <c r="H13" s="309">
        <v>205</v>
      </c>
      <c r="I13" s="310">
        <v>162</v>
      </c>
      <c r="J13" s="236"/>
      <c r="K13" s="236"/>
    </row>
    <row r="14" spans="1:11" s="121" customFormat="1" ht="14.5">
      <c r="A14" s="528">
        <v>2013</v>
      </c>
      <c r="B14" s="453" t="s">
        <v>231</v>
      </c>
      <c r="C14" s="302">
        <f t="shared" si="0"/>
        <v>1313.1200000000001</v>
      </c>
      <c r="D14" s="303">
        <f t="shared" si="1"/>
        <v>897.07</v>
      </c>
      <c r="E14" s="304">
        <v>125.71</v>
      </c>
      <c r="F14" s="303">
        <v>771.36</v>
      </c>
      <c r="G14" s="306">
        <f t="shared" si="2"/>
        <v>416.05</v>
      </c>
      <c r="H14" s="303">
        <v>239.5</v>
      </c>
      <c r="I14" s="303">
        <v>176.55</v>
      </c>
      <c r="J14" s="236"/>
      <c r="K14" s="236"/>
    </row>
    <row r="15" spans="1:11" s="121" customFormat="1" ht="14.5">
      <c r="A15" s="526"/>
      <c r="B15" s="450" t="s">
        <v>232</v>
      </c>
      <c r="C15" s="302">
        <f t="shared" si="0"/>
        <v>1288.6199999999999</v>
      </c>
      <c r="D15" s="303">
        <f t="shared" si="1"/>
        <v>859.19999999999993</v>
      </c>
      <c r="E15" s="304">
        <v>123.66</v>
      </c>
      <c r="F15" s="303">
        <v>735.54</v>
      </c>
      <c r="G15" s="306">
        <f t="shared" si="2"/>
        <v>429.42</v>
      </c>
      <c r="H15" s="303">
        <v>250.86</v>
      </c>
      <c r="I15" s="303">
        <v>178.56</v>
      </c>
      <c r="J15" s="236"/>
      <c r="K15" s="236"/>
    </row>
    <row r="16" spans="1:11" s="121" customFormat="1" ht="14.5">
      <c r="A16" s="526"/>
      <c r="B16" s="450" t="s">
        <v>233</v>
      </c>
      <c r="C16" s="302">
        <f t="shared" si="0"/>
        <v>1293.5099999999998</v>
      </c>
      <c r="D16" s="303">
        <f t="shared" si="1"/>
        <v>868.20999999999992</v>
      </c>
      <c r="E16" s="304">
        <v>121.8</v>
      </c>
      <c r="F16" s="303">
        <v>746.41</v>
      </c>
      <c r="G16" s="306">
        <f t="shared" si="2"/>
        <v>425.29999999999995</v>
      </c>
      <c r="H16" s="303">
        <v>248.51</v>
      </c>
      <c r="I16" s="303">
        <v>176.79</v>
      </c>
      <c r="J16" s="236"/>
      <c r="K16" s="236"/>
    </row>
    <row r="17" spans="1:41" s="121" customFormat="1" ht="14.5">
      <c r="A17" s="527"/>
      <c r="B17" s="452" t="s">
        <v>234</v>
      </c>
      <c r="C17" s="307">
        <f t="shared" si="0"/>
        <v>1326.58</v>
      </c>
      <c r="D17" s="307">
        <f t="shared" si="1"/>
        <v>913.1</v>
      </c>
      <c r="E17" s="308">
        <v>124.48</v>
      </c>
      <c r="F17" s="307">
        <v>788.62</v>
      </c>
      <c r="G17" s="310">
        <f t="shared" si="2"/>
        <v>413.48</v>
      </c>
      <c r="H17" s="307">
        <v>242.37</v>
      </c>
      <c r="I17" s="307">
        <v>171.11</v>
      </c>
      <c r="J17" s="236"/>
      <c r="K17" s="236"/>
    </row>
    <row r="18" spans="1:41" s="121" customFormat="1" ht="14.5">
      <c r="A18" s="528">
        <v>2014</v>
      </c>
      <c r="B18" s="453" t="s">
        <v>231</v>
      </c>
      <c r="C18" s="302">
        <f t="shared" si="0"/>
        <v>1364.23</v>
      </c>
      <c r="D18" s="303">
        <f t="shared" si="1"/>
        <v>919.91</v>
      </c>
      <c r="E18" s="311">
        <v>130.91</v>
      </c>
      <c r="F18" s="303">
        <v>789</v>
      </c>
      <c r="G18" s="306">
        <f t="shared" si="2"/>
        <v>444.32000000000005</v>
      </c>
      <c r="H18" s="303">
        <v>262.73</v>
      </c>
      <c r="I18" s="304">
        <v>181.59</v>
      </c>
      <c r="J18" s="236"/>
      <c r="K18" s="236"/>
    </row>
    <row r="19" spans="1:41" s="121" customFormat="1" ht="14.5">
      <c r="A19" s="526"/>
      <c r="B19" s="450" t="s">
        <v>232</v>
      </c>
      <c r="C19" s="302">
        <f t="shared" si="0"/>
        <v>1381.46</v>
      </c>
      <c r="D19" s="303">
        <f t="shared" si="1"/>
        <v>935.43</v>
      </c>
      <c r="E19" s="311">
        <v>128.41999999999999</v>
      </c>
      <c r="F19" s="303">
        <v>807.01</v>
      </c>
      <c r="G19" s="306">
        <f t="shared" si="2"/>
        <v>446.03</v>
      </c>
      <c r="H19" s="303">
        <v>265.45999999999998</v>
      </c>
      <c r="I19" s="304">
        <v>180.57</v>
      </c>
      <c r="J19" s="236"/>
      <c r="K19" s="236"/>
    </row>
    <row r="20" spans="1:41" s="121" customFormat="1" ht="14.5">
      <c r="A20" s="526"/>
      <c r="B20" s="450" t="s">
        <v>233</v>
      </c>
      <c r="C20" s="302">
        <f t="shared" si="0"/>
        <v>1393.3</v>
      </c>
      <c r="D20" s="303">
        <f t="shared" si="1"/>
        <v>941.22</v>
      </c>
      <c r="E20" s="311">
        <v>129.01</v>
      </c>
      <c r="F20" s="303">
        <v>812.21</v>
      </c>
      <c r="G20" s="306">
        <f t="shared" si="2"/>
        <v>452.08</v>
      </c>
      <c r="H20" s="303">
        <v>270.7</v>
      </c>
      <c r="I20" s="304">
        <v>181.38</v>
      </c>
      <c r="J20" s="236"/>
      <c r="K20" s="236"/>
    </row>
    <row r="21" spans="1:41" s="121" customFormat="1" ht="14.5">
      <c r="A21" s="527"/>
      <c r="B21" s="452" t="s">
        <v>234</v>
      </c>
      <c r="C21" s="307">
        <f t="shared" si="0"/>
        <v>1337.72</v>
      </c>
      <c r="D21" s="307">
        <f t="shared" si="1"/>
        <v>952.82</v>
      </c>
      <c r="E21" s="312">
        <v>126.63</v>
      </c>
      <c r="F21" s="307">
        <v>826.19</v>
      </c>
      <c r="G21" s="310">
        <f t="shared" si="2"/>
        <v>384.9</v>
      </c>
      <c r="H21" s="307">
        <v>208.35</v>
      </c>
      <c r="I21" s="308">
        <v>176.55</v>
      </c>
      <c r="J21" s="236"/>
      <c r="K21" s="236"/>
    </row>
    <row r="22" spans="1:41" s="121" customFormat="1" ht="14.5">
      <c r="A22" s="526">
        <v>2015</v>
      </c>
      <c r="B22" s="453" t="s">
        <v>231</v>
      </c>
      <c r="C22" s="302">
        <f t="shared" si="0"/>
        <v>1425.97</v>
      </c>
      <c r="D22" s="303">
        <f t="shared" si="1"/>
        <v>964</v>
      </c>
      <c r="E22" s="299">
        <v>127.69</v>
      </c>
      <c r="F22" s="313">
        <v>836.31</v>
      </c>
      <c r="G22" s="306">
        <f t="shared" si="2"/>
        <v>461.96999999999997</v>
      </c>
      <c r="H22" s="303">
        <v>287.27999999999997</v>
      </c>
      <c r="I22" s="304">
        <v>174.69</v>
      </c>
      <c r="J22" s="236"/>
      <c r="K22" s="236"/>
    </row>
    <row r="23" spans="1:41" s="121" customFormat="1" ht="14.5">
      <c r="A23" s="526"/>
      <c r="B23" s="450" t="s">
        <v>232</v>
      </c>
      <c r="C23" s="302">
        <f t="shared" si="0"/>
        <v>1465.04</v>
      </c>
      <c r="D23" s="303">
        <f t="shared" si="1"/>
        <v>963.06999999999994</v>
      </c>
      <c r="E23" s="304">
        <v>127.57</v>
      </c>
      <c r="F23" s="303">
        <v>835.5</v>
      </c>
      <c r="G23" s="306">
        <f t="shared" si="2"/>
        <v>501.97</v>
      </c>
      <c r="H23" s="303">
        <v>320.89</v>
      </c>
      <c r="I23" s="303">
        <v>181.08</v>
      </c>
      <c r="J23" s="236"/>
      <c r="K23" s="236"/>
    </row>
    <row r="24" spans="1:41" s="121" customFormat="1" ht="14.5">
      <c r="A24" s="526"/>
      <c r="B24" s="450" t="s">
        <v>233</v>
      </c>
      <c r="C24" s="302">
        <f t="shared" si="0"/>
        <v>1449.74</v>
      </c>
      <c r="D24" s="303">
        <f t="shared" si="1"/>
        <v>955.01</v>
      </c>
      <c r="E24" s="304">
        <v>135.27000000000001</v>
      </c>
      <c r="F24" s="303">
        <v>819.74</v>
      </c>
      <c r="G24" s="306">
        <f t="shared" si="2"/>
        <v>494.73</v>
      </c>
      <c r="H24" s="303">
        <v>310.26</v>
      </c>
      <c r="I24" s="303">
        <v>184.47</v>
      </c>
      <c r="J24" s="236"/>
      <c r="K24" s="236"/>
    </row>
    <row r="25" spans="1:41" s="121" customFormat="1" ht="14.5">
      <c r="A25" s="527"/>
      <c r="B25" s="452" t="s">
        <v>234</v>
      </c>
      <c r="C25" s="307">
        <f t="shared" si="0"/>
        <v>1366.33</v>
      </c>
      <c r="D25" s="307">
        <f t="shared" si="1"/>
        <v>944.95</v>
      </c>
      <c r="E25" s="312">
        <v>135.83000000000001</v>
      </c>
      <c r="F25" s="307">
        <v>809.12</v>
      </c>
      <c r="G25" s="310">
        <f t="shared" si="2"/>
        <v>421.38</v>
      </c>
      <c r="H25" s="307">
        <v>235.7</v>
      </c>
      <c r="I25" s="307">
        <v>185.68</v>
      </c>
      <c r="J25" s="236"/>
      <c r="K25" s="236"/>
    </row>
    <row r="26" spans="1:41" s="121" customFormat="1" ht="14.5">
      <c r="A26" s="528">
        <v>2016</v>
      </c>
      <c r="B26" s="453" t="s">
        <v>231</v>
      </c>
      <c r="C26" s="302">
        <f t="shared" si="0"/>
        <v>1423.6999999999998</v>
      </c>
      <c r="D26" s="303">
        <f t="shared" si="1"/>
        <v>972.4</v>
      </c>
      <c r="E26" s="299">
        <v>145.13999999999999</v>
      </c>
      <c r="F26" s="313">
        <v>827.26</v>
      </c>
      <c r="G26" s="306">
        <f t="shared" si="2"/>
        <v>451.29999999999995</v>
      </c>
      <c r="H26" s="313">
        <v>260.45</v>
      </c>
      <c r="I26" s="313">
        <v>190.85</v>
      </c>
      <c r="J26" s="236"/>
      <c r="K26" s="236"/>
    </row>
    <row r="27" spans="1:41" s="121" customFormat="1" ht="14.5">
      <c r="A27" s="526"/>
      <c r="B27" s="450" t="s">
        <v>232</v>
      </c>
      <c r="C27" s="302">
        <f t="shared" si="0"/>
        <v>1433.94</v>
      </c>
      <c r="D27" s="303">
        <f t="shared" si="1"/>
        <v>983.53</v>
      </c>
      <c r="E27" s="304">
        <v>142.65</v>
      </c>
      <c r="F27" s="303">
        <v>840.88</v>
      </c>
      <c r="G27" s="306">
        <f t="shared" si="2"/>
        <v>450.40999999999997</v>
      </c>
      <c r="H27" s="303">
        <v>252.12</v>
      </c>
      <c r="I27" s="303">
        <v>198.29</v>
      </c>
      <c r="J27" s="236"/>
      <c r="K27" s="236"/>
    </row>
    <row r="28" spans="1:41" s="121" customFormat="1" ht="14.5">
      <c r="A28" s="526"/>
      <c r="B28" s="450" t="s">
        <v>233</v>
      </c>
      <c r="C28" s="302">
        <f t="shared" si="0"/>
        <v>1472.19</v>
      </c>
      <c r="D28" s="303">
        <f t="shared" si="1"/>
        <v>1009.1999999999999</v>
      </c>
      <c r="E28" s="304">
        <v>142.91</v>
      </c>
      <c r="F28" s="303">
        <v>866.29</v>
      </c>
      <c r="G28" s="306">
        <f t="shared" si="2"/>
        <v>462.99</v>
      </c>
      <c r="H28" s="303">
        <v>268.86</v>
      </c>
      <c r="I28" s="303">
        <v>194.13</v>
      </c>
      <c r="J28" s="236"/>
      <c r="K28" s="236"/>
    </row>
    <row r="29" spans="1:41" s="121" customFormat="1" ht="14.5">
      <c r="A29" s="527"/>
      <c r="B29" s="452" t="s">
        <v>234</v>
      </c>
      <c r="C29" s="307">
        <f t="shared" si="0"/>
        <v>1470.33</v>
      </c>
      <c r="D29" s="307">
        <f t="shared" si="1"/>
        <v>1010.29</v>
      </c>
      <c r="E29" s="308">
        <v>154.15</v>
      </c>
      <c r="F29" s="307">
        <v>856.14</v>
      </c>
      <c r="G29" s="310">
        <f t="shared" si="2"/>
        <v>460.04</v>
      </c>
      <c r="H29" s="307">
        <v>267.43</v>
      </c>
      <c r="I29" s="307">
        <v>192.61</v>
      </c>
      <c r="J29" s="236"/>
      <c r="K29" s="236"/>
    </row>
    <row r="30" spans="1:41" s="121" customFormat="1" ht="12.75" customHeight="1">
      <c r="A30" s="528">
        <v>2017</v>
      </c>
      <c r="B30" s="453" t="s">
        <v>231</v>
      </c>
      <c r="C30" s="302">
        <f t="shared" si="0"/>
        <v>1519.1399999999999</v>
      </c>
      <c r="D30" s="303">
        <f t="shared" si="1"/>
        <v>1042.74</v>
      </c>
      <c r="E30" s="299">
        <v>150.47999999999999</v>
      </c>
      <c r="F30" s="313">
        <v>892.26</v>
      </c>
      <c r="G30" s="303">
        <f t="shared" si="2"/>
        <v>476.4</v>
      </c>
      <c r="H30" s="313">
        <v>289.92</v>
      </c>
      <c r="I30" s="313">
        <v>186.48</v>
      </c>
      <c r="J30" s="236"/>
      <c r="K30" s="236"/>
    </row>
    <row r="31" spans="1:41" s="121" customFormat="1" ht="12.75" customHeight="1">
      <c r="A31" s="526"/>
      <c r="B31" s="450" t="s">
        <v>232</v>
      </c>
      <c r="C31" s="303">
        <f>D31+G31</f>
        <v>1563.37</v>
      </c>
      <c r="D31" s="303">
        <f>E31+F31</f>
        <v>1060.3</v>
      </c>
      <c r="E31" s="304">
        <v>150.35</v>
      </c>
      <c r="F31" s="303">
        <v>909.95</v>
      </c>
      <c r="G31" s="303">
        <f>H31+I31</f>
        <v>503.07</v>
      </c>
      <c r="H31" s="303">
        <v>315.18</v>
      </c>
      <c r="I31" s="303">
        <v>187.89</v>
      </c>
      <c r="J31" s="236"/>
      <c r="K31" s="236"/>
    </row>
    <row r="32" spans="1:41" s="121" customFormat="1" ht="12.75" customHeight="1">
      <c r="A32" s="526"/>
      <c r="B32" s="450" t="s">
        <v>233</v>
      </c>
      <c r="C32" s="303">
        <f>D32+G32</f>
        <v>1588.42</v>
      </c>
      <c r="D32" s="303">
        <f>E32+F32</f>
        <v>1071.07</v>
      </c>
      <c r="E32" s="304">
        <v>148.69999999999999</v>
      </c>
      <c r="F32" s="303">
        <v>922.37</v>
      </c>
      <c r="G32" s="303">
        <f>H32+I32</f>
        <v>517.35</v>
      </c>
      <c r="H32" s="303">
        <v>330.66</v>
      </c>
      <c r="I32" s="303">
        <v>186.69</v>
      </c>
      <c r="J32" s="236"/>
      <c r="K32" s="236"/>
      <c r="AE32" s="314"/>
      <c r="AF32" s="314"/>
      <c r="AG32" s="314"/>
      <c r="AH32" s="314"/>
      <c r="AI32" s="314"/>
      <c r="AJ32" s="314"/>
      <c r="AK32" s="314"/>
      <c r="AL32" s="314"/>
      <c r="AM32" s="314"/>
      <c r="AN32" s="314"/>
      <c r="AO32" s="314"/>
    </row>
    <row r="33" spans="1:11" s="121" customFormat="1" ht="12.75" customHeight="1">
      <c r="A33" s="527"/>
      <c r="B33" s="452" t="s">
        <v>234</v>
      </c>
      <c r="C33" s="307">
        <f t="shared" si="0"/>
        <v>1596.72</v>
      </c>
      <c r="D33" s="307">
        <f t="shared" si="1"/>
        <v>1088.19</v>
      </c>
      <c r="E33" s="308">
        <v>148.88</v>
      </c>
      <c r="F33" s="307">
        <v>939.31</v>
      </c>
      <c r="G33" s="307">
        <f t="shared" si="2"/>
        <v>508.53</v>
      </c>
      <c r="H33" s="307">
        <v>322.19</v>
      </c>
      <c r="I33" s="307">
        <v>186.34</v>
      </c>
      <c r="J33" s="236"/>
      <c r="K33" s="236"/>
    </row>
    <row r="34" spans="1:11" s="121" customFormat="1" ht="12.75" customHeight="1">
      <c r="A34" s="528">
        <v>2018</v>
      </c>
      <c r="B34" s="453" t="s">
        <v>231</v>
      </c>
      <c r="C34" s="315">
        <f t="shared" ref="C34:C44" si="3">D34+G34</f>
        <v>1586.0700000000002</v>
      </c>
      <c r="D34" s="313">
        <f t="shared" ref="D34:D44" si="4">E34+F34</f>
        <v>1083.92</v>
      </c>
      <c r="E34" s="313">
        <v>156.16999999999999</v>
      </c>
      <c r="F34" s="313">
        <v>927.75</v>
      </c>
      <c r="G34" s="313">
        <f t="shared" ref="G34:G58" si="5">H34+I34</f>
        <v>502.15000000000003</v>
      </c>
      <c r="H34" s="313">
        <v>313.04000000000002</v>
      </c>
      <c r="I34" s="313">
        <v>189.11</v>
      </c>
      <c r="J34" s="236"/>
      <c r="K34" s="236"/>
    </row>
    <row r="35" spans="1:11" s="121" customFormat="1" ht="14.5">
      <c r="A35" s="529"/>
      <c r="B35" s="450" t="s">
        <v>232</v>
      </c>
      <c r="C35" s="303">
        <f t="shared" si="3"/>
        <v>1610.06</v>
      </c>
      <c r="D35" s="303">
        <f t="shared" si="4"/>
        <v>1092.92</v>
      </c>
      <c r="E35" s="303">
        <v>150.41999999999999</v>
      </c>
      <c r="F35" s="303">
        <v>942.5</v>
      </c>
      <c r="G35" s="303">
        <f t="shared" si="5"/>
        <v>517.14</v>
      </c>
      <c r="H35" s="303">
        <v>329.61</v>
      </c>
      <c r="I35" s="303">
        <v>187.53</v>
      </c>
      <c r="J35" s="236"/>
      <c r="K35" s="236"/>
    </row>
    <row r="36" spans="1:11" s="121" customFormat="1" ht="14.5">
      <c r="A36" s="529"/>
      <c r="B36" s="455" t="s">
        <v>233</v>
      </c>
      <c r="C36" s="303">
        <f t="shared" si="3"/>
        <v>1622.33</v>
      </c>
      <c r="D36" s="303">
        <f t="shared" si="4"/>
        <v>1090.27</v>
      </c>
      <c r="E36" s="303">
        <v>154.69</v>
      </c>
      <c r="F36" s="303">
        <v>935.58</v>
      </c>
      <c r="G36" s="303">
        <f t="shared" si="5"/>
        <v>532.06000000000006</v>
      </c>
      <c r="H36" s="303">
        <v>338.23</v>
      </c>
      <c r="I36" s="303">
        <v>193.83</v>
      </c>
      <c r="J36" s="236"/>
      <c r="K36" s="236"/>
    </row>
    <row r="37" spans="1:11" s="121" customFormat="1" ht="14.5">
      <c r="A37" s="530"/>
      <c r="B37" s="456" t="s">
        <v>234</v>
      </c>
      <c r="C37" s="307">
        <f t="shared" si="3"/>
        <v>1625.76</v>
      </c>
      <c r="D37" s="307">
        <f t="shared" si="4"/>
        <v>1081.78</v>
      </c>
      <c r="E37" s="307">
        <v>152.96</v>
      </c>
      <c r="F37" s="307">
        <v>928.82</v>
      </c>
      <c r="G37" s="307">
        <f t="shared" si="5"/>
        <v>543.98</v>
      </c>
      <c r="H37" s="307">
        <v>347.91</v>
      </c>
      <c r="I37" s="307">
        <v>196.07</v>
      </c>
      <c r="J37" s="236"/>
      <c r="K37" s="236"/>
    </row>
    <row r="38" spans="1:11" s="121" customFormat="1" ht="14.5">
      <c r="A38" s="528">
        <v>2019</v>
      </c>
      <c r="B38" s="453" t="s">
        <v>231</v>
      </c>
      <c r="C38" s="313">
        <f t="shared" si="3"/>
        <v>1665.21</v>
      </c>
      <c r="D38" s="313">
        <f t="shared" si="4"/>
        <v>1124.05</v>
      </c>
      <c r="E38" s="313">
        <v>150.38999999999999</v>
      </c>
      <c r="F38" s="313">
        <v>973.66</v>
      </c>
      <c r="G38" s="313">
        <f t="shared" si="5"/>
        <v>541.16</v>
      </c>
      <c r="H38" s="313">
        <v>345.14</v>
      </c>
      <c r="I38" s="313">
        <v>196.02</v>
      </c>
      <c r="J38" s="236"/>
      <c r="K38" s="236"/>
    </row>
    <row r="39" spans="1:11" s="121" customFormat="1" ht="14.5">
      <c r="A39" s="526"/>
      <c r="B39" s="450" t="s">
        <v>232</v>
      </c>
      <c r="C39" s="303">
        <f t="shared" si="3"/>
        <v>1709.47</v>
      </c>
      <c r="D39" s="303">
        <f t="shared" si="4"/>
        <v>1140.74</v>
      </c>
      <c r="E39" s="303">
        <v>154.07</v>
      </c>
      <c r="F39" s="303">
        <v>986.67</v>
      </c>
      <c r="G39" s="303">
        <f t="shared" si="5"/>
        <v>568.73</v>
      </c>
      <c r="H39" s="303">
        <v>354.84</v>
      </c>
      <c r="I39" s="303">
        <v>213.89</v>
      </c>
      <c r="J39" s="236"/>
      <c r="K39" s="236"/>
    </row>
    <row r="40" spans="1:11" s="121" customFormat="1" ht="14.5">
      <c r="A40" s="526"/>
      <c r="B40" s="455" t="s">
        <v>233</v>
      </c>
      <c r="C40" s="303">
        <f t="shared" si="3"/>
        <v>1718.8600000000001</v>
      </c>
      <c r="D40" s="303">
        <f t="shared" si="4"/>
        <v>1171.8800000000001</v>
      </c>
      <c r="E40" s="303">
        <v>156.28</v>
      </c>
      <c r="F40" s="303">
        <v>1015.6</v>
      </c>
      <c r="G40" s="303">
        <f t="shared" si="5"/>
        <v>546.98</v>
      </c>
      <c r="H40" s="303">
        <v>338.91</v>
      </c>
      <c r="I40" s="303">
        <v>208.07</v>
      </c>
      <c r="J40" s="236"/>
      <c r="K40" s="236"/>
    </row>
    <row r="41" spans="1:11" s="121" customFormat="1" ht="14.5">
      <c r="A41" s="527"/>
      <c r="B41" s="456" t="s">
        <v>234</v>
      </c>
      <c r="C41" s="307">
        <f t="shared" si="3"/>
        <v>1762.4099999999999</v>
      </c>
      <c r="D41" s="307">
        <f t="shared" si="4"/>
        <v>1201.3</v>
      </c>
      <c r="E41" s="307">
        <v>172.57</v>
      </c>
      <c r="F41" s="307">
        <v>1028.73</v>
      </c>
      <c r="G41" s="307">
        <f t="shared" si="5"/>
        <v>561.11</v>
      </c>
      <c r="H41" s="307">
        <v>351.48</v>
      </c>
      <c r="I41" s="307">
        <v>209.63</v>
      </c>
      <c r="J41" s="236"/>
      <c r="K41" s="236"/>
    </row>
    <row r="42" spans="1:11" s="121" customFormat="1" ht="14.5">
      <c r="A42" s="528">
        <v>2020</v>
      </c>
      <c r="B42" s="454" t="s">
        <v>231</v>
      </c>
      <c r="C42" s="313">
        <f t="shared" si="3"/>
        <v>1768.3899999999999</v>
      </c>
      <c r="D42" s="313">
        <f t="shared" si="4"/>
        <v>1170.8</v>
      </c>
      <c r="E42" s="313">
        <v>177.99</v>
      </c>
      <c r="F42" s="313">
        <v>992.81</v>
      </c>
      <c r="G42" s="313">
        <f t="shared" si="5"/>
        <v>597.59</v>
      </c>
      <c r="H42" s="313">
        <v>386.54</v>
      </c>
      <c r="I42" s="313">
        <v>211.05</v>
      </c>
      <c r="J42" s="236"/>
      <c r="K42" s="236"/>
    </row>
    <row r="43" spans="1:11" s="121" customFormat="1" ht="14.5">
      <c r="A43" s="526"/>
      <c r="B43" s="455" t="s">
        <v>232</v>
      </c>
      <c r="C43" s="303">
        <f t="shared" si="3"/>
        <v>1820.59</v>
      </c>
      <c r="D43" s="303">
        <f t="shared" si="4"/>
        <v>1238.5899999999999</v>
      </c>
      <c r="E43" s="303">
        <v>162.26</v>
      </c>
      <c r="F43" s="303">
        <v>1076.33</v>
      </c>
      <c r="G43" s="303">
        <f t="shared" si="5"/>
        <v>582</v>
      </c>
      <c r="H43" s="303">
        <v>367.78</v>
      </c>
      <c r="I43" s="303">
        <v>214.22</v>
      </c>
      <c r="J43" s="236"/>
      <c r="K43" s="236"/>
    </row>
    <row r="44" spans="1:11" s="121" customFormat="1" ht="14.5">
      <c r="A44" s="526"/>
      <c r="B44" s="455" t="s">
        <v>233</v>
      </c>
      <c r="C44" s="303">
        <f t="shared" si="3"/>
        <v>1852.8600000000001</v>
      </c>
      <c r="D44" s="303">
        <f t="shared" si="4"/>
        <v>1281.8500000000001</v>
      </c>
      <c r="E44" s="303">
        <v>167.66</v>
      </c>
      <c r="F44" s="303">
        <v>1114.19</v>
      </c>
      <c r="G44" s="303">
        <f t="shared" si="5"/>
        <v>571.01</v>
      </c>
      <c r="H44" s="303">
        <v>359.17</v>
      </c>
      <c r="I44" s="303">
        <v>211.84</v>
      </c>
      <c r="J44" s="236"/>
      <c r="K44" s="236"/>
    </row>
    <row r="45" spans="1:11" s="121" customFormat="1" ht="14.5">
      <c r="A45" s="527"/>
      <c r="B45" s="456" t="s">
        <v>234</v>
      </c>
      <c r="C45" s="307">
        <f t="shared" ref="C45:C56" si="6">D45+G45</f>
        <v>1954.3999999999999</v>
      </c>
      <c r="D45" s="307">
        <f t="shared" ref="D45:D56" si="7">E45+F45</f>
        <v>1358.6599999999999</v>
      </c>
      <c r="E45" s="307">
        <v>171.11</v>
      </c>
      <c r="F45" s="307">
        <v>1187.55</v>
      </c>
      <c r="G45" s="307">
        <f t="shared" si="5"/>
        <v>595.74</v>
      </c>
      <c r="H45" s="307">
        <v>380.02</v>
      </c>
      <c r="I45" s="307">
        <v>215.72</v>
      </c>
      <c r="J45" s="236"/>
      <c r="K45" s="236"/>
    </row>
    <row r="46" spans="1:11" s="121" customFormat="1" ht="14.5">
      <c r="A46" s="528">
        <v>2021</v>
      </c>
      <c r="B46" s="454" t="s">
        <v>231</v>
      </c>
      <c r="C46" s="313">
        <f t="shared" si="6"/>
        <v>1946.1000000000001</v>
      </c>
      <c r="D46" s="313">
        <f t="shared" si="7"/>
        <v>1344.15</v>
      </c>
      <c r="E46" s="313">
        <v>176.75</v>
      </c>
      <c r="F46" s="313">
        <v>1167.4000000000001</v>
      </c>
      <c r="G46" s="313">
        <f t="shared" si="5"/>
        <v>601.95000000000005</v>
      </c>
      <c r="H46" s="313">
        <v>382.25</v>
      </c>
      <c r="I46" s="313">
        <v>219.7</v>
      </c>
      <c r="J46" s="236"/>
      <c r="K46" s="236"/>
    </row>
    <row r="47" spans="1:11" s="121" customFormat="1" ht="14.5">
      <c r="A47" s="529"/>
      <c r="B47" s="455" t="s">
        <v>232</v>
      </c>
      <c r="C47" s="303">
        <f t="shared" si="6"/>
        <v>2009</v>
      </c>
      <c r="D47" s="303">
        <f t="shared" si="7"/>
        <v>1392.31</v>
      </c>
      <c r="E47" s="303">
        <v>165.7</v>
      </c>
      <c r="F47" s="303">
        <v>1226.6099999999999</v>
      </c>
      <c r="G47" s="303">
        <f t="shared" si="5"/>
        <v>616.69000000000005</v>
      </c>
      <c r="H47" s="303">
        <v>402.62</v>
      </c>
      <c r="I47" s="303">
        <v>214.07</v>
      </c>
      <c r="J47" s="236"/>
      <c r="K47" s="236"/>
    </row>
    <row r="48" spans="1:11" s="121" customFormat="1" ht="14.5">
      <c r="A48" s="529"/>
      <c r="B48" s="455" t="s">
        <v>233</v>
      </c>
      <c r="C48" s="303">
        <f t="shared" si="6"/>
        <v>1989.25</v>
      </c>
      <c r="D48" s="303">
        <f t="shared" si="7"/>
        <v>1370.1789999999999</v>
      </c>
      <c r="E48" s="303">
        <v>165.47499999999999</v>
      </c>
      <c r="F48" s="303">
        <v>1204.704</v>
      </c>
      <c r="G48" s="303">
        <f t="shared" si="5"/>
        <v>619.07100000000003</v>
      </c>
      <c r="H48" s="303">
        <v>402.31200000000001</v>
      </c>
      <c r="I48" s="303">
        <v>216.75899999999999</v>
      </c>
      <c r="J48" s="236"/>
      <c r="K48" s="236"/>
    </row>
    <row r="49" spans="1:11" s="121" customFormat="1">
      <c r="A49" s="523"/>
      <c r="B49" s="456" t="s">
        <v>234</v>
      </c>
      <c r="C49" s="307">
        <f t="shared" si="6"/>
        <v>1975.91</v>
      </c>
      <c r="D49" s="307">
        <f t="shared" si="7"/>
        <v>1365.9</v>
      </c>
      <c r="E49" s="307">
        <v>175.02</v>
      </c>
      <c r="F49" s="307">
        <v>1190.8800000000001</v>
      </c>
      <c r="G49" s="307">
        <f t="shared" si="5"/>
        <v>610.01</v>
      </c>
      <c r="H49" s="307">
        <v>391.54</v>
      </c>
      <c r="I49" s="307">
        <v>218.47</v>
      </c>
      <c r="J49" s="236"/>
      <c r="K49" s="236"/>
    </row>
    <row r="50" spans="1:11" s="121" customFormat="1" ht="14.5">
      <c r="A50" s="528">
        <v>2022</v>
      </c>
      <c r="B50" s="454" t="s">
        <v>231</v>
      </c>
      <c r="C50" s="313">
        <f t="shared" si="6"/>
        <v>1926.85</v>
      </c>
      <c r="D50" s="313">
        <f t="shared" si="7"/>
        <v>1296.74</v>
      </c>
      <c r="E50" s="313">
        <v>168.44</v>
      </c>
      <c r="F50" s="313">
        <v>1128.3</v>
      </c>
      <c r="G50" s="313">
        <f t="shared" si="5"/>
        <v>630.11</v>
      </c>
      <c r="H50" s="313">
        <v>413.41</v>
      </c>
      <c r="I50" s="313">
        <v>216.7</v>
      </c>
      <c r="J50" s="236"/>
      <c r="K50" s="236"/>
    </row>
    <row r="51" spans="1:11" s="121" customFormat="1" ht="14.5">
      <c r="A51" s="526"/>
      <c r="B51" s="455" t="s">
        <v>232</v>
      </c>
      <c r="C51" s="303">
        <f t="shared" si="6"/>
        <v>1864.4349999999999</v>
      </c>
      <c r="D51" s="303">
        <f t="shared" si="7"/>
        <v>1245.52</v>
      </c>
      <c r="E51" s="303">
        <v>166.17</v>
      </c>
      <c r="F51" s="303">
        <v>1079.3499999999999</v>
      </c>
      <c r="G51" s="303">
        <f t="shared" si="5"/>
        <v>618.91499999999996</v>
      </c>
      <c r="H51" s="303">
        <v>405.01100000000002</v>
      </c>
      <c r="I51" s="303">
        <v>213.904</v>
      </c>
      <c r="J51" s="236"/>
      <c r="K51" s="236"/>
    </row>
    <row r="52" spans="1:11" s="121" customFormat="1" ht="14.5">
      <c r="A52" s="526"/>
      <c r="B52" s="455" t="s">
        <v>233</v>
      </c>
      <c r="C52" s="303">
        <f t="shared" si="6"/>
        <v>1836.8100000000002</v>
      </c>
      <c r="D52" s="303">
        <f t="shared" si="7"/>
        <v>1212.3600000000001</v>
      </c>
      <c r="E52" s="303">
        <v>163.63999999999999</v>
      </c>
      <c r="F52" s="303">
        <v>1048.72</v>
      </c>
      <c r="G52" s="303">
        <f t="shared" si="5"/>
        <v>624.45000000000005</v>
      </c>
      <c r="H52" s="303">
        <v>408.79</v>
      </c>
      <c r="I52" s="303">
        <v>215.66</v>
      </c>
      <c r="J52" s="236"/>
      <c r="K52" s="236"/>
    </row>
    <row r="53" spans="1:11" s="121" customFormat="1" ht="14.5">
      <c r="A53" s="527"/>
      <c r="B53" s="456" t="s">
        <v>234</v>
      </c>
      <c r="C53" s="307">
        <f t="shared" si="6"/>
        <v>1882.31</v>
      </c>
      <c r="D53" s="307">
        <f t="shared" si="7"/>
        <v>1240.05</v>
      </c>
      <c r="E53" s="307">
        <v>166.75</v>
      </c>
      <c r="F53" s="307">
        <v>1073.3</v>
      </c>
      <c r="G53" s="307">
        <f t="shared" si="5"/>
        <v>642.26</v>
      </c>
      <c r="H53" s="307">
        <v>429.82</v>
      </c>
      <c r="I53" s="307">
        <v>212.44</v>
      </c>
      <c r="J53" s="236"/>
      <c r="K53" s="236"/>
    </row>
    <row r="54" spans="1:11" s="121" customFormat="1" ht="14.5">
      <c r="A54" s="528">
        <v>2023</v>
      </c>
      <c r="B54" s="454" t="s">
        <v>231</v>
      </c>
      <c r="C54" s="313">
        <f t="shared" si="6"/>
        <v>1939.4800000000002</v>
      </c>
      <c r="D54" s="313">
        <f t="shared" si="7"/>
        <v>1289.8000000000002</v>
      </c>
      <c r="E54" s="313">
        <v>165.92</v>
      </c>
      <c r="F54" s="313">
        <v>1123.8800000000001</v>
      </c>
      <c r="G54" s="313">
        <f t="shared" si="5"/>
        <v>649.68000000000006</v>
      </c>
      <c r="H54" s="313">
        <v>435.05</v>
      </c>
      <c r="I54" s="313">
        <v>214.63</v>
      </c>
      <c r="J54" s="236"/>
      <c r="K54" s="236"/>
    </row>
    <row r="55" spans="1:11" s="121" customFormat="1" ht="14.5">
      <c r="A55" s="526"/>
      <c r="B55" s="455" t="s">
        <v>232</v>
      </c>
      <c r="C55" s="303">
        <f t="shared" si="6"/>
        <v>1923.8880000000001</v>
      </c>
      <c r="D55" s="303">
        <f t="shared" si="7"/>
        <v>1281.5630000000001</v>
      </c>
      <c r="E55" s="303">
        <v>167.11500000000001</v>
      </c>
      <c r="F55" s="303">
        <v>1114.4480000000001</v>
      </c>
      <c r="G55" s="303">
        <f t="shared" si="5"/>
        <v>642.32500000000005</v>
      </c>
      <c r="H55" s="303">
        <v>423.71899999999999</v>
      </c>
      <c r="I55" s="303">
        <v>218.60599999999999</v>
      </c>
      <c r="J55" s="236"/>
      <c r="K55" s="236"/>
    </row>
    <row r="56" spans="1:11" s="121" customFormat="1" ht="14.5">
      <c r="A56" s="526"/>
      <c r="B56" s="455" t="s">
        <v>233</v>
      </c>
      <c r="C56" s="303">
        <f t="shared" si="6"/>
        <v>1926.8020000000001</v>
      </c>
      <c r="D56" s="303">
        <f t="shared" si="7"/>
        <v>1284.5</v>
      </c>
      <c r="E56" s="303">
        <v>182.84</v>
      </c>
      <c r="F56" s="303">
        <v>1101.6600000000001</v>
      </c>
      <c r="G56" s="303">
        <f t="shared" si="5"/>
        <v>642.30200000000002</v>
      </c>
      <c r="H56" s="303">
        <v>420.12</v>
      </c>
      <c r="I56" s="303">
        <v>222.18199999999999</v>
      </c>
      <c r="J56" s="236"/>
      <c r="K56" s="236"/>
    </row>
    <row r="57" spans="1:11" s="121" customFormat="1" ht="14.5">
      <c r="A57" s="527"/>
      <c r="B57" s="456" t="s">
        <v>234</v>
      </c>
      <c r="C57" s="307">
        <f t="shared" ref="C57" si="8">D57+G57</f>
        <v>2020.29</v>
      </c>
      <c r="D57" s="307">
        <f t="shared" ref="D57" si="9">E57+F57</f>
        <v>1357.67</v>
      </c>
      <c r="E57" s="307">
        <v>185.99</v>
      </c>
      <c r="F57" s="307">
        <v>1171.68</v>
      </c>
      <c r="G57" s="307">
        <f t="shared" si="5"/>
        <v>662.62</v>
      </c>
      <c r="H57" s="307">
        <v>434.67</v>
      </c>
      <c r="I57" s="307">
        <v>227.95</v>
      </c>
      <c r="J57" s="236"/>
      <c r="K57" s="236"/>
    </row>
    <row r="58" spans="1:11" s="121" customFormat="1" ht="14.5">
      <c r="A58" s="528">
        <v>2024</v>
      </c>
      <c r="B58" s="454" t="s">
        <v>231</v>
      </c>
      <c r="C58" s="313">
        <f t="shared" ref="C58" si="10">D58+G58</f>
        <v>2044.69</v>
      </c>
      <c r="D58" s="313">
        <f t="shared" ref="D58" si="11">E58+F58</f>
        <v>1384.65</v>
      </c>
      <c r="E58" s="313">
        <v>196.21</v>
      </c>
      <c r="F58" s="313">
        <v>1188.44</v>
      </c>
      <c r="G58" s="313">
        <f t="shared" si="5"/>
        <v>660.04</v>
      </c>
      <c r="H58" s="313">
        <v>424.5</v>
      </c>
      <c r="I58" s="313">
        <v>235.54</v>
      </c>
      <c r="J58" s="236"/>
      <c r="K58" s="236"/>
    </row>
    <row r="59" spans="1:11" s="121" customFormat="1" ht="14.5">
      <c r="A59" s="526"/>
      <c r="B59" s="455" t="s">
        <v>232</v>
      </c>
      <c r="C59" s="303">
        <f t="shared" ref="C59" si="12">D59+G59</f>
        <v>2027.45</v>
      </c>
      <c r="D59" s="303">
        <f t="shared" ref="D59" si="13">E59+F59</f>
        <v>1409.41</v>
      </c>
      <c r="E59" s="642">
        <v>188.42</v>
      </c>
      <c r="F59" s="642">
        <v>1220.99</v>
      </c>
      <c r="G59" s="303">
        <f>H59+I59</f>
        <v>618.04</v>
      </c>
      <c r="H59" s="642">
        <v>389.21</v>
      </c>
      <c r="I59" s="642">
        <v>228.83</v>
      </c>
      <c r="J59" s="236"/>
      <c r="K59" s="236"/>
    </row>
    <row r="60" spans="1:11" s="121" customFormat="1" ht="14.5">
      <c r="A60" s="526"/>
      <c r="B60" s="455" t="s">
        <v>233</v>
      </c>
      <c r="C60" s="303">
        <f t="shared" ref="C60" si="14">D60+G60</f>
        <v>2059.54</v>
      </c>
      <c r="D60" s="303">
        <f t="shared" ref="D60" si="15">E60+F60</f>
        <v>1450.96</v>
      </c>
      <c r="E60" s="303">
        <v>182.58</v>
      </c>
      <c r="F60" s="303">
        <v>1268.3800000000001</v>
      </c>
      <c r="G60" s="303">
        <f>H60+I60</f>
        <v>608.58000000000004</v>
      </c>
      <c r="H60" s="303">
        <v>378.61</v>
      </c>
      <c r="I60" s="303">
        <v>229.97</v>
      </c>
      <c r="J60" s="236"/>
      <c r="K60" s="236"/>
    </row>
    <row r="61" spans="1:11" s="121" customFormat="1" ht="14.5">
      <c r="A61" s="527"/>
      <c r="B61" s="456" t="s">
        <v>234</v>
      </c>
      <c r="C61" s="307">
        <f t="shared" ref="C61" si="16">D61+G61</f>
        <v>2131.14</v>
      </c>
      <c r="D61" s="307">
        <f t="shared" ref="D61" si="17">E61+F61</f>
        <v>1526.26</v>
      </c>
      <c r="E61" s="307">
        <v>179.23</v>
      </c>
      <c r="F61" s="307">
        <v>1347.03</v>
      </c>
      <c r="G61" s="307">
        <f>H61+I61</f>
        <v>604.88</v>
      </c>
      <c r="H61" s="307">
        <v>374.82</v>
      </c>
      <c r="I61" s="307">
        <v>230.06</v>
      </c>
      <c r="J61" s="236"/>
      <c r="K61" s="236"/>
    </row>
    <row r="62" spans="1:11" s="121" customFormat="1" ht="14.5">
      <c r="A62" s="528">
        <v>2025</v>
      </c>
      <c r="B62" s="454" t="s">
        <v>231</v>
      </c>
      <c r="C62" s="313">
        <f t="shared" ref="C62" si="18">D62+G62</f>
        <v>1998.6130000000003</v>
      </c>
      <c r="D62" s="313">
        <f t="shared" ref="D62" si="19">E62+F62</f>
        <v>1389.8020000000001</v>
      </c>
      <c r="E62" s="313">
        <v>147.249</v>
      </c>
      <c r="F62" s="313">
        <v>1242.5530000000001</v>
      </c>
      <c r="G62" s="313">
        <f>H62+I62</f>
        <v>608.81100000000004</v>
      </c>
      <c r="H62" s="313">
        <v>370.20600000000002</v>
      </c>
      <c r="I62" s="313">
        <v>238.60499999999999</v>
      </c>
      <c r="J62" s="236"/>
      <c r="K62" s="236"/>
    </row>
    <row r="63" spans="1:11" s="121" customFormat="1" ht="14.5">
      <c r="A63" s="527"/>
      <c r="B63" s="456" t="s">
        <v>232</v>
      </c>
      <c r="C63" s="307">
        <f t="shared" ref="C63" si="20">D63+G63</f>
        <v>2089.5699999999997</v>
      </c>
      <c r="D63" s="307">
        <f t="shared" ref="D63" si="21">E63+F63</f>
        <v>1449.3899999999999</v>
      </c>
      <c r="E63" s="307">
        <v>150.53</v>
      </c>
      <c r="F63" s="307">
        <v>1298.8599999999999</v>
      </c>
      <c r="G63" s="307">
        <f>H63+I63</f>
        <v>640.18000000000006</v>
      </c>
      <c r="H63" s="307">
        <v>402.82</v>
      </c>
      <c r="I63" s="307">
        <v>237.36</v>
      </c>
      <c r="J63" s="236"/>
      <c r="K63" s="236"/>
    </row>
    <row r="64" spans="1:11">
      <c r="B64" s="67"/>
      <c r="C64" s="82"/>
      <c r="E64" s="74"/>
      <c r="F64" s="74"/>
      <c r="G64" s="74"/>
      <c r="H64" s="74"/>
      <c r="I64" s="74"/>
    </row>
    <row r="65" spans="1:9">
      <c r="A65" s="491" t="s">
        <v>195</v>
      </c>
    </row>
    <row r="66" spans="1:9">
      <c r="A66" s="475"/>
      <c r="C66" s="82"/>
      <c r="D66" s="82"/>
      <c r="E66" s="82"/>
      <c r="F66" s="82"/>
      <c r="G66" s="82"/>
      <c r="H66" s="82"/>
      <c r="I66" s="82"/>
    </row>
    <row r="67" spans="1:9">
      <c r="A67" s="475" t="s">
        <v>119</v>
      </c>
    </row>
    <row r="68" spans="1:9">
      <c r="A68" s="475" t="s">
        <v>120</v>
      </c>
      <c r="C68" s="86"/>
    </row>
  </sheetData>
  <sheetProtection formatCells="0" insertColumns="0" insertRows="0" deleteColumns="0" deleteRows="0"/>
  <mergeCells count="7">
    <mergeCell ref="A1:F1"/>
    <mergeCell ref="G4:I4"/>
    <mergeCell ref="A2:I2"/>
    <mergeCell ref="A3:B5"/>
    <mergeCell ref="C3:I3"/>
    <mergeCell ref="C4:C5"/>
    <mergeCell ref="D4:F4"/>
  </mergeCells>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68"/>
  <sheetViews>
    <sheetView zoomScaleNormal="100" workbookViewId="0">
      <pane ySplit="5" topLeftCell="A54" activePane="bottomLeft" state="frozen"/>
      <selection activeCell="G153" sqref="G153"/>
      <selection pane="bottomLeft" sqref="A1:F1"/>
    </sheetView>
  </sheetViews>
  <sheetFormatPr defaultColWidth="9.1796875" defaultRowHeight="13"/>
  <cols>
    <col min="1" max="2" width="6.81640625" style="65" customWidth="1"/>
    <col min="3" max="9" width="13.81640625" style="65" customWidth="1"/>
    <col min="10" max="16384" width="9.1796875" style="65"/>
  </cols>
  <sheetData>
    <row r="1" spans="1:11">
      <c r="A1" s="716" t="s">
        <v>278</v>
      </c>
      <c r="B1" s="716"/>
      <c r="C1" s="716"/>
      <c r="D1" s="716"/>
      <c r="E1" s="716"/>
      <c r="F1" s="716"/>
    </row>
    <row r="2" spans="1:11">
      <c r="A2" s="750" t="s">
        <v>97</v>
      </c>
      <c r="B2" s="750"/>
      <c r="C2" s="750"/>
      <c r="D2" s="750"/>
      <c r="E2" s="750"/>
      <c r="F2" s="750"/>
      <c r="G2" s="750"/>
      <c r="H2" s="750"/>
      <c r="I2" s="750"/>
    </row>
    <row r="3" spans="1:11" s="121" customFormat="1" ht="15" customHeight="1">
      <c r="A3" s="756" t="s">
        <v>98</v>
      </c>
      <c r="B3" s="757"/>
      <c r="C3" s="812" t="s">
        <v>279</v>
      </c>
      <c r="D3" s="813"/>
      <c r="E3" s="813"/>
      <c r="F3" s="813"/>
      <c r="G3" s="813"/>
      <c r="H3" s="813"/>
      <c r="I3" s="814"/>
    </row>
    <row r="4" spans="1:11" s="121" customFormat="1" ht="15" customHeight="1">
      <c r="A4" s="810"/>
      <c r="B4" s="811"/>
      <c r="C4" s="717" t="s">
        <v>102</v>
      </c>
      <c r="D4" s="815" t="s">
        <v>272</v>
      </c>
      <c r="E4" s="816"/>
      <c r="F4" s="817"/>
      <c r="G4" s="815" t="s">
        <v>273</v>
      </c>
      <c r="H4" s="816"/>
      <c r="I4" s="817"/>
    </row>
    <row r="5" spans="1:11" s="121" customFormat="1" ht="15" customHeight="1">
      <c r="A5" s="758"/>
      <c r="B5" s="759"/>
      <c r="C5" s="717"/>
      <c r="D5" s="531" t="s">
        <v>102</v>
      </c>
      <c r="E5" s="476" t="s">
        <v>274</v>
      </c>
      <c r="F5" s="476" t="s">
        <v>275</v>
      </c>
      <c r="G5" s="531" t="s">
        <v>102</v>
      </c>
      <c r="H5" s="476" t="s">
        <v>274</v>
      </c>
      <c r="I5" s="476" t="s">
        <v>277</v>
      </c>
    </row>
    <row r="6" spans="1:11" s="121" customFormat="1" ht="14.5">
      <c r="A6" s="471">
        <v>2011</v>
      </c>
      <c r="B6" s="679" t="s">
        <v>231</v>
      </c>
      <c r="C6" s="227">
        <f>D6+G6</f>
        <v>75.72999999999999</v>
      </c>
      <c r="D6" s="228">
        <f>E6+F6</f>
        <v>38.4</v>
      </c>
      <c r="E6" s="227">
        <v>18.72</v>
      </c>
      <c r="F6" s="316">
        <v>19.68</v>
      </c>
      <c r="G6" s="229">
        <f>H6+I6</f>
        <v>37.33</v>
      </c>
      <c r="H6" s="316">
        <v>20.68</v>
      </c>
      <c r="I6" s="229">
        <v>16.649999999999999</v>
      </c>
      <c r="J6" s="285"/>
      <c r="K6" s="285"/>
    </row>
    <row r="7" spans="1:11" s="121" customFormat="1" ht="14.5">
      <c r="A7" s="472"/>
      <c r="B7" s="447" t="s">
        <v>232</v>
      </c>
      <c r="C7" s="214">
        <f>D7+G7</f>
        <v>70.239999999999995</v>
      </c>
      <c r="D7" s="209">
        <f>E7+F7</f>
        <v>28.419999999999998</v>
      </c>
      <c r="E7" s="214">
        <v>11.18</v>
      </c>
      <c r="F7" s="208">
        <v>17.239999999999998</v>
      </c>
      <c r="G7" s="210">
        <f>H7+I7</f>
        <v>41.819999999999993</v>
      </c>
      <c r="H7" s="208">
        <v>37.659999999999997</v>
      </c>
      <c r="I7" s="210">
        <v>4.16</v>
      </c>
      <c r="J7" s="285"/>
      <c r="K7" s="285"/>
    </row>
    <row r="8" spans="1:11" s="121" customFormat="1" ht="14.5">
      <c r="A8" s="472"/>
      <c r="B8" s="447" t="s">
        <v>233</v>
      </c>
      <c r="C8" s="214">
        <f t="shared" ref="C8:C42" si="0">D8+G8</f>
        <v>56.23</v>
      </c>
      <c r="D8" s="209">
        <f t="shared" ref="D8:D42" si="1">E8+F8</f>
        <v>33.68</v>
      </c>
      <c r="E8" s="214">
        <v>16.329999999999998</v>
      </c>
      <c r="F8" s="208">
        <v>17.350000000000001</v>
      </c>
      <c r="G8" s="210">
        <f t="shared" ref="G8:G63" si="2">H8+I8</f>
        <v>22.549999999999997</v>
      </c>
      <c r="H8" s="208">
        <v>18.47</v>
      </c>
      <c r="I8" s="210">
        <v>4.08</v>
      </c>
      <c r="J8" s="285"/>
      <c r="K8" s="285"/>
    </row>
    <row r="9" spans="1:11" s="121" customFormat="1" ht="14.5">
      <c r="A9" s="473"/>
      <c r="B9" s="448" t="s">
        <v>234</v>
      </c>
      <c r="C9" s="216">
        <f t="shared" si="0"/>
        <v>64.209999999999994</v>
      </c>
      <c r="D9" s="211">
        <f t="shared" si="1"/>
        <v>37.989999999999995</v>
      </c>
      <c r="E9" s="216">
        <v>19.63</v>
      </c>
      <c r="F9" s="213">
        <v>18.36</v>
      </c>
      <c r="G9" s="212">
        <f t="shared" si="2"/>
        <v>26.22</v>
      </c>
      <c r="H9" s="213">
        <v>21.23</v>
      </c>
      <c r="I9" s="212">
        <v>4.99</v>
      </c>
      <c r="J9" s="285"/>
      <c r="K9" s="285"/>
    </row>
    <row r="10" spans="1:11" s="121" customFormat="1" ht="14.5">
      <c r="A10" s="472">
        <v>2012</v>
      </c>
      <c r="B10" s="447" t="s">
        <v>231</v>
      </c>
      <c r="C10" s="214">
        <f t="shared" si="0"/>
        <v>83.47</v>
      </c>
      <c r="D10" s="209">
        <f t="shared" si="1"/>
        <v>39.629999999999995</v>
      </c>
      <c r="E10" s="214">
        <v>23.4</v>
      </c>
      <c r="F10" s="208">
        <v>16.23</v>
      </c>
      <c r="G10" s="210">
        <f t="shared" si="2"/>
        <v>43.84</v>
      </c>
      <c r="H10" s="208">
        <v>28.09</v>
      </c>
      <c r="I10" s="210">
        <v>15.75</v>
      </c>
      <c r="J10" s="285"/>
      <c r="K10" s="285"/>
    </row>
    <row r="11" spans="1:11" s="121" customFormat="1" ht="14.5">
      <c r="A11" s="472"/>
      <c r="B11" s="447" t="s">
        <v>232</v>
      </c>
      <c r="C11" s="214">
        <f t="shared" si="0"/>
        <v>78.06</v>
      </c>
      <c r="D11" s="209">
        <f t="shared" si="1"/>
        <v>31.13</v>
      </c>
      <c r="E11" s="214">
        <v>12.93</v>
      </c>
      <c r="F11" s="208">
        <v>18.2</v>
      </c>
      <c r="G11" s="210">
        <f t="shared" si="2"/>
        <v>46.93</v>
      </c>
      <c r="H11" s="208">
        <v>42.24</v>
      </c>
      <c r="I11" s="210">
        <v>4.6900000000000004</v>
      </c>
      <c r="J11" s="285"/>
      <c r="K11" s="285"/>
    </row>
    <row r="12" spans="1:11" s="121" customFormat="1" ht="14.5">
      <c r="A12" s="472"/>
      <c r="B12" s="447" t="s">
        <v>233</v>
      </c>
      <c r="C12" s="214">
        <f t="shared" si="0"/>
        <v>65.55</v>
      </c>
      <c r="D12" s="209">
        <f t="shared" si="1"/>
        <v>35.270000000000003</v>
      </c>
      <c r="E12" s="214">
        <v>17.850000000000001</v>
      </c>
      <c r="F12" s="208">
        <v>17.420000000000002</v>
      </c>
      <c r="G12" s="210">
        <f t="shared" si="2"/>
        <v>30.279999999999998</v>
      </c>
      <c r="H12" s="208">
        <v>25.47</v>
      </c>
      <c r="I12" s="210">
        <v>4.8099999999999996</v>
      </c>
      <c r="J12" s="285"/>
      <c r="K12" s="285"/>
    </row>
    <row r="13" spans="1:11" s="121" customFormat="1" ht="14.5">
      <c r="A13" s="472"/>
      <c r="B13" s="447" t="s">
        <v>234</v>
      </c>
      <c r="C13" s="216">
        <f t="shared" si="0"/>
        <v>55.64</v>
      </c>
      <c r="D13" s="211">
        <f t="shared" si="1"/>
        <v>30.560000000000002</v>
      </c>
      <c r="E13" s="216">
        <v>11.63</v>
      </c>
      <c r="F13" s="213">
        <v>18.93</v>
      </c>
      <c r="G13" s="212">
        <f t="shared" si="2"/>
        <v>25.08</v>
      </c>
      <c r="H13" s="208">
        <v>19.38</v>
      </c>
      <c r="I13" s="210">
        <v>5.7</v>
      </c>
      <c r="J13" s="285"/>
      <c r="K13" s="285"/>
    </row>
    <row r="14" spans="1:11" s="121" customFormat="1" ht="14.5">
      <c r="A14" s="471">
        <v>2013</v>
      </c>
      <c r="B14" s="454" t="s">
        <v>231</v>
      </c>
      <c r="C14" s="214">
        <f t="shared" si="0"/>
        <v>98.86</v>
      </c>
      <c r="D14" s="209">
        <f t="shared" si="1"/>
        <v>42.5</v>
      </c>
      <c r="E14" s="210">
        <v>25.65</v>
      </c>
      <c r="F14" s="208">
        <v>16.850000000000001</v>
      </c>
      <c r="G14" s="210">
        <f t="shared" si="2"/>
        <v>56.36</v>
      </c>
      <c r="H14" s="316">
        <v>25.88</v>
      </c>
      <c r="I14" s="229">
        <v>30.48</v>
      </c>
      <c r="J14" s="285"/>
      <c r="K14" s="285"/>
    </row>
    <row r="15" spans="1:11" s="121" customFormat="1" ht="14.5">
      <c r="A15" s="472"/>
      <c r="B15" s="455" t="s">
        <v>232</v>
      </c>
      <c r="C15" s="214">
        <f t="shared" si="0"/>
        <v>82.550000000000011</v>
      </c>
      <c r="D15" s="209">
        <f t="shared" si="1"/>
        <v>33.15</v>
      </c>
      <c r="E15" s="210">
        <v>15.08</v>
      </c>
      <c r="F15" s="208">
        <v>18.07</v>
      </c>
      <c r="G15" s="210">
        <f t="shared" si="2"/>
        <v>49.400000000000006</v>
      </c>
      <c r="H15" s="208">
        <v>41.17</v>
      </c>
      <c r="I15" s="210">
        <v>8.23</v>
      </c>
      <c r="J15" s="285"/>
      <c r="K15" s="285"/>
    </row>
    <row r="16" spans="1:11" s="121" customFormat="1" ht="14.5">
      <c r="A16" s="472"/>
      <c r="B16" s="455" t="s">
        <v>233</v>
      </c>
      <c r="C16" s="214">
        <f t="shared" si="0"/>
        <v>65.34</v>
      </c>
      <c r="D16" s="209">
        <f t="shared" si="1"/>
        <v>36.81</v>
      </c>
      <c r="E16" s="210">
        <v>17.989999999999998</v>
      </c>
      <c r="F16" s="208">
        <v>18.82</v>
      </c>
      <c r="G16" s="210">
        <f t="shared" si="2"/>
        <v>28.53</v>
      </c>
      <c r="H16" s="208">
        <v>21.25</v>
      </c>
      <c r="I16" s="210">
        <v>7.28</v>
      </c>
      <c r="J16" s="285"/>
      <c r="K16" s="285"/>
    </row>
    <row r="17" spans="1:11" s="121" customFormat="1" ht="14.5">
      <c r="A17" s="473"/>
      <c r="B17" s="456" t="s">
        <v>234</v>
      </c>
      <c r="C17" s="216">
        <f t="shared" si="0"/>
        <v>60.17</v>
      </c>
      <c r="D17" s="211">
        <f t="shared" si="1"/>
        <v>32.590000000000003</v>
      </c>
      <c r="E17" s="212">
        <v>14.32</v>
      </c>
      <c r="F17" s="213">
        <v>18.27</v>
      </c>
      <c r="G17" s="212">
        <f t="shared" si="2"/>
        <v>27.58</v>
      </c>
      <c r="H17" s="213">
        <v>21.11</v>
      </c>
      <c r="I17" s="212">
        <v>6.47</v>
      </c>
      <c r="J17" s="285"/>
      <c r="K17" s="285"/>
    </row>
    <row r="18" spans="1:11" s="121" customFormat="1" ht="14.5">
      <c r="A18" s="471">
        <v>2014</v>
      </c>
      <c r="B18" s="454" t="s">
        <v>231</v>
      </c>
      <c r="C18" s="214">
        <f t="shared" si="0"/>
        <v>81.599999999999994</v>
      </c>
      <c r="D18" s="209">
        <f t="shared" si="1"/>
        <v>39.86</v>
      </c>
      <c r="E18" s="210">
        <v>22.26</v>
      </c>
      <c r="F18" s="208">
        <v>17.600000000000001</v>
      </c>
      <c r="G18" s="210">
        <f t="shared" si="2"/>
        <v>41.74</v>
      </c>
      <c r="H18" s="316">
        <v>32.770000000000003</v>
      </c>
      <c r="I18" s="229">
        <v>8.9700000000000006</v>
      </c>
      <c r="J18" s="285"/>
      <c r="K18" s="285"/>
    </row>
    <row r="19" spans="1:11" s="121" customFormat="1" ht="14.5">
      <c r="A19" s="472"/>
      <c r="B19" s="455" t="s">
        <v>232</v>
      </c>
      <c r="C19" s="214">
        <f t="shared" si="0"/>
        <v>96.39</v>
      </c>
      <c r="D19" s="209">
        <f t="shared" si="1"/>
        <v>35.549999999999997</v>
      </c>
      <c r="E19" s="210">
        <v>17.739999999999998</v>
      </c>
      <c r="F19" s="208">
        <v>17.809999999999999</v>
      </c>
      <c r="G19" s="210">
        <f t="shared" si="2"/>
        <v>60.84</v>
      </c>
      <c r="H19" s="208">
        <v>42.14</v>
      </c>
      <c r="I19" s="210">
        <v>18.7</v>
      </c>
      <c r="J19" s="285"/>
      <c r="K19" s="285"/>
    </row>
    <row r="20" spans="1:11" s="121" customFormat="1" ht="14.5">
      <c r="A20" s="472"/>
      <c r="B20" s="455" t="s">
        <v>233</v>
      </c>
      <c r="C20" s="214">
        <f t="shared" si="0"/>
        <v>68.87</v>
      </c>
      <c r="D20" s="209">
        <f t="shared" si="1"/>
        <v>38.260000000000005</v>
      </c>
      <c r="E20" s="210">
        <v>19.41</v>
      </c>
      <c r="F20" s="208">
        <v>18.850000000000001</v>
      </c>
      <c r="G20" s="210">
        <f t="shared" si="2"/>
        <v>30.61</v>
      </c>
      <c r="H20" s="208">
        <v>23.54</v>
      </c>
      <c r="I20" s="210">
        <v>7.07</v>
      </c>
      <c r="J20" s="285"/>
      <c r="K20" s="285"/>
    </row>
    <row r="21" spans="1:11" s="121" customFormat="1" ht="14.5">
      <c r="A21" s="473"/>
      <c r="B21" s="456" t="s">
        <v>234</v>
      </c>
      <c r="C21" s="216">
        <f t="shared" si="0"/>
        <v>60.620000000000005</v>
      </c>
      <c r="D21" s="211">
        <f t="shared" si="1"/>
        <v>33.85</v>
      </c>
      <c r="E21" s="212">
        <v>14.41</v>
      </c>
      <c r="F21" s="213">
        <v>19.440000000000001</v>
      </c>
      <c r="G21" s="212">
        <f t="shared" si="2"/>
        <v>26.77</v>
      </c>
      <c r="H21" s="213">
        <v>21.48</v>
      </c>
      <c r="I21" s="212">
        <v>5.29</v>
      </c>
      <c r="J21" s="285"/>
      <c r="K21" s="285"/>
    </row>
    <row r="22" spans="1:11" s="121" customFormat="1" ht="14.5">
      <c r="A22" s="471">
        <v>2015</v>
      </c>
      <c r="B22" s="453" t="s">
        <v>231</v>
      </c>
      <c r="C22" s="214">
        <f t="shared" si="0"/>
        <v>80.88</v>
      </c>
      <c r="D22" s="209">
        <f t="shared" si="1"/>
        <v>36.629999999999995</v>
      </c>
      <c r="E22" s="210">
        <v>17.86</v>
      </c>
      <c r="F22" s="208">
        <v>18.77</v>
      </c>
      <c r="G22" s="210">
        <f t="shared" si="2"/>
        <v>44.25</v>
      </c>
      <c r="H22" s="208">
        <v>35.409999999999997</v>
      </c>
      <c r="I22" s="210">
        <v>8.84</v>
      </c>
      <c r="J22" s="285"/>
      <c r="K22" s="285"/>
    </row>
    <row r="23" spans="1:11" s="121" customFormat="1" ht="14.5">
      <c r="A23" s="472"/>
      <c r="B23" s="450" t="s">
        <v>232</v>
      </c>
      <c r="C23" s="214">
        <f t="shared" si="0"/>
        <v>95.83</v>
      </c>
      <c r="D23" s="209">
        <f t="shared" si="1"/>
        <v>31.25</v>
      </c>
      <c r="E23" s="210">
        <v>12.61</v>
      </c>
      <c r="F23" s="210">
        <v>18.64</v>
      </c>
      <c r="G23" s="210">
        <f t="shared" si="2"/>
        <v>64.58</v>
      </c>
      <c r="H23" s="210">
        <v>44.43</v>
      </c>
      <c r="I23" s="210">
        <v>20.149999999999999</v>
      </c>
      <c r="J23" s="285"/>
      <c r="K23" s="285"/>
    </row>
    <row r="24" spans="1:11" s="121" customFormat="1" ht="14.5">
      <c r="A24" s="472"/>
      <c r="B24" s="450" t="s">
        <v>233</v>
      </c>
      <c r="C24" s="214">
        <f t="shared" si="0"/>
        <v>71.449999999999989</v>
      </c>
      <c r="D24" s="209">
        <f t="shared" si="1"/>
        <v>40.47</v>
      </c>
      <c r="E24" s="210">
        <v>20.8</v>
      </c>
      <c r="F24" s="210">
        <v>19.670000000000002</v>
      </c>
      <c r="G24" s="210">
        <f t="shared" si="2"/>
        <v>30.979999999999997</v>
      </c>
      <c r="H24" s="210">
        <v>18.88</v>
      </c>
      <c r="I24" s="210">
        <v>12.1</v>
      </c>
      <c r="J24" s="285"/>
      <c r="K24" s="285"/>
    </row>
    <row r="25" spans="1:11" s="121" customFormat="1" ht="14.5">
      <c r="A25" s="473"/>
      <c r="B25" s="456" t="s">
        <v>234</v>
      </c>
      <c r="C25" s="216">
        <f t="shared" si="0"/>
        <v>69.930000000000007</v>
      </c>
      <c r="D25" s="211">
        <f t="shared" si="1"/>
        <v>35.49</v>
      </c>
      <c r="E25" s="212">
        <v>14.62</v>
      </c>
      <c r="F25" s="212">
        <v>20.87</v>
      </c>
      <c r="G25" s="212">
        <f t="shared" si="2"/>
        <v>34.44</v>
      </c>
      <c r="H25" s="212">
        <v>27.48</v>
      </c>
      <c r="I25" s="212">
        <v>6.96</v>
      </c>
      <c r="J25" s="285"/>
      <c r="K25" s="285"/>
    </row>
    <row r="26" spans="1:11" s="121" customFormat="1" ht="14.5">
      <c r="A26" s="471">
        <v>2016</v>
      </c>
      <c r="B26" s="453" t="s">
        <v>231</v>
      </c>
      <c r="C26" s="214">
        <f t="shared" si="0"/>
        <v>80.180000000000007</v>
      </c>
      <c r="D26" s="209">
        <f t="shared" si="1"/>
        <v>41.22</v>
      </c>
      <c r="E26" s="210">
        <v>22.57</v>
      </c>
      <c r="F26" s="210">
        <v>18.649999999999999</v>
      </c>
      <c r="G26" s="210">
        <f t="shared" si="2"/>
        <v>38.96</v>
      </c>
      <c r="H26" s="229">
        <v>28.56</v>
      </c>
      <c r="I26" s="229">
        <v>10.4</v>
      </c>
      <c r="J26" s="285"/>
      <c r="K26" s="285"/>
    </row>
    <row r="27" spans="1:11" s="121" customFormat="1" ht="14.5">
      <c r="A27" s="472"/>
      <c r="B27" s="450" t="s">
        <v>232</v>
      </c>
      <c r="C27" s="214">
        <f t="shared" si="0"/>
        <v>90.38</v>
      </c>
      <c r="D27" s="209">
        <f t="shared" si="1"/>
        <v>34.56</v>
      </c>
      <c r="E27" s="210">
        <v>14.35</v>
      </c>
      <c r="F27" s="210">
        <v>20.21</v>
      </c>
      <c r="G27" s="210">
        <f t="shared" si="2"/>
        <v>55.82</v>
      </c>
      <c r="H27" s="210">
        <v>36.35</v>
      </c>
      <c r="I27" s="210">
        <v>19.47</v>
      </c>
      <c r="J27" s="285"/>
      <c r="K27" s="285"/>
    </row>
    <row r="28" spans="1:11" s="121" customFormat="1" ht="14.5">
      <c r="A28" s="472"/>
      <c r="B28" s="450" t="s">
        <v>233</v>
      </c>
      <c r="C28" s="214">
        <f t="shared" si="0"/>
        <v>65.960000000000008</v>
      </c>
      <c r="D28" s="209">
        <f t="shared" si="1"/>
        <v>32.89</v>
      </c>
      <c r="E28" s="210">
        <v>13.23</v>
      </c>
      <c r="F28" s="210">
        <v>19.66</v>
      </c>
      <c r="G28" s="210">
        <f t="shared" si="2"/>
        <v>33.07</v>
      </c>
      <c r="H28" s="210">
        <v>27.07</v>
      </c>
      <c r="I28" s="210">
        <v>6</v>
      </c>
      <c r="J28" s="285"/>
      <c r="K28" s="285"/>
    </row>
    <row r="29" spans="1:11" s="121" customFormat="1" ht="14.5">
      <c r="A29" s="473"/>
      <c r="B29" s="452" t="s">
        <v>234</v>
      </c>
      <c r="C29" s="216">
        <f t="shared" si="0"/>
        <v>64.56</v>
      </c>
      <c r="D29" s="211">
        <f t="shared" si="1"/>
        <v>39.4</v>
      </c>
      <c r="E29" s="212">
        <v>17.07</v>
      </c>
      <c r="F29" s="212">
        <v>22.33</v>
      </c>
      <c r="G29" s="212">
        <f t="shared" si="2"/>
        <v>25.16</v>
      </c>
      <c r="H29" s="212">
        <v>22.86</v>
      </c>
      <c r="I29" s="212">
        <v>2.2999999999999998</v>
      </c>
      <c r="J29" s="285"/>
      <c r="K29" s="285"/>
    </row>
    <row r="30" spans="1:11" s="121" customFormat="1" ht="14.5">
      <c r="A30" s="471">
        <v>2017</v>
      </c>
      <c r="B30" s="453" t="s">
        <v>231</v>
      </c>
      <c r="C30" s="214">
        <f t="shared" si="0"/>
        <v>76.899999999999991</v>
      </c>
      <c r="D30" s="209">
        <f t="shared" si="1"/>
        <v>38.019999999999996</v>
      </c>
      <c r="E30" s="214">
        <v>18.77</v>
      </c>
      <c r="F30" s="214">
        <v>19.25</v>
      </c>
      <c r="G30" s="214">
        <f t="shared" si="2"/>
        <v>38.879999999999995</v>
      </c>
      <c r="H30" s="227">
        <v>28.68</v>
      </c>
      <c r="I30" s="227">
        <v>10.199999999999999</v>
      </c>
      <c r="J30" s="285"/>
      <c r="K30" s="285"/>
    </row>
    <row r="31" spans="1:11" s="121" customFormat="1" ht="14.5">
      <c r="A31" s="472"/>
      <c r="B31" s="450" t="s">
        <v>232</v>
      </c>
      <c r="C31" s="214">
        <f>D31+G31</f>
        <v>85.96</v>
      </c>
      <c r="D31" s="209">
        <f>E31+F31</f>
        <v>38.61</v>
      </c>
      <c r="E31" s="214">
        <v>18</v>
      </c>
      <c r="F31" s="214">
        <v>20.61</v>
      </c>
      <c r="G31" s="214">
        <f>H31+I31</f>
        <v>47.349999999999994</v>
      </c>
      <c r="H31" s="214">
        <v>37.19</v>
      </c>
      <c r="I31" s="214">
        <v>10.16</v>
      </c>
      <c r="J31" s="285"/>
      <c r="K31" s="285"/>
    </row>
    <row r="32" spans="1:11" s="121" customFormat="1" ht="14.5">
      <c r="A32" s="472"/>
      <c r="B32" s="450" t="s">
        <v>233</v>
      </c>
      <c r="C32" s="214">
        <f t="shared" si="0"/>
        <v>68.42</v>
      </c>
      <c r="D32" s="209">
        <f t="shared" si="1"/>
        <v>30.93</v>
      </c>
      <c r="E32" s="214">
        <v>13.37</v>
      </c>
      <c r="F32" s="214">
        <v>17.559999999999999</v>
      </c>
      <c r="G32" s="214">
        <f t="shared" si="2"/>
        <v>37.49</v>
      </c>
      <c r="H32" s="214">
        <v>31.17</v>
      </c>
      <c r="I32" s="214">
        <v>6.32</v>
      </c>
      <c r="J32" s="285"/>
      <c r="K32" s="285"/>
    </row>
    <row r="33" spans="1:11" s="121" customFormat="1" ht="14.5">
      <c r="A33" s="473"/>
      <c r="B33" s="452" t="s">
        <v>234</v>
      </c>
      <c r="C33" s="216">
        <f t="shared" si="0"/>
        <v>64.78</v>
      </c>
      <c r="D33" s="211">
        <f t="shared" si="1"/>
        <v>35.61</v>
      </c>
      <c r="E33" s="216">
        <v>14.9</v>
      </c>
      <c r="F33" s="216">
        <v>20.71</v>
      </c>
      <c r="G33" s="216">
        <f t="shared" si="2"/>
        <v>29.17</v>
      </c>
      <c r="H33" s="216">
        <v>23.12</v>
      </c>
      <c r="I33" s="216">
        <v>6.05</v>
      </c>
      <c r="J33" s="285"/>
      <c r="K33" s="285"/>
    </row>
    <row r="34" spans="1:11" s="121" customFormat="1" ht="14.5">
      <c r="A34" s="471">
        <v>2018</v>
      </c>
      <c r="B34" s="453" t="s">
        <v>231</v>
      </c>
      <c r="C34" s="227">
        <f>D34+G34</f>
        <v>77.25</v>
      </c>
      <c r="D34" s="228">
        <f>E34+F34</f>
        <v>44.6</v>
      </c>
      <c r="E34" s="227">
        <v>26.35</v>
      </c>
      <c r="F34" s="227">
        <v>18.25</v>
      </c>
      <c r="G34" s="227">
        <f>H34+I34</f>
        <v>32.65</v>
      </c>
      <c r="H34" s="227">
        <v>25.03</v>
      </c>
      <c r="I34" s="227">
        <v>7.62</v>
      </c>
      <c r="J34" s="285"/>
      <c r="K34" s="285"/>
    </row>
    <row r="35" spans="1:11" s="121" customFormat="1" ht="14.5">
      <c r="A35" s="472"/>
      <c r="B35" s="455" t="s">
        <v>232</v>
      </c>
      <c r="C35" s="214">
        <f t="shared" si="0"/>
        <v>71.73</v>
      </c>
      <c r="D35" s="214">
        <f t="shared" si="1"/>
        <v>34.900000000000006</v>
      </c>
      <c r="E35" s="214">
        <v>15.21</v>
      </c>
      <c r="F35" s="214">
        <v>19.690000000000001</v>
      </c>
      <c r="G35" s="214">
        <f t="shared" si="2"/>
        <v>36.83</v>
      </c>
      <c r="H35" s="214">
        <v>30.95</v>
      </c>
      <c r="I35" s="214">
        <v>5.88</v>
      </c>
      <c r="J35" s="285"/>
      <c r="K35" s="285"/>
    </row>
    <row r="36" spans="1:11" s="121" customFormat="1" ht="14.5">
      <c r="A36" s="472"/>
      <c r="B36" s="455" t="s">
        <v>233</v>
      </c>
      <c r="C36" s="214">
        <f t="shared" si="0"/>
        <v>75.63</v>
      </c>
      <c r="D36" s="214">
        <f t="shared" si="1"/>
        <v>38.340000000000003</v>
      </c>
      <c r="E36" s="214">
        <v>18.32</v>
      </c>
      <c r="F36" s="214">
        <v>20.02</v>
      </c>
      <c r="G36" s="214">
        <f t="shared" si="2"/>
        <v>37.29</v>
      </c>
      <c r="H36" s="214">
        <v>31.59</v>
      </c>
      <c r="I36" s="220">
        <v>5.7</v>
      </c>
      <c r="J36" s="285"/>
      <c r="K36" s="285"/>
    </row>
    <row r="37" spans="1:11" s="121" customFormat="1" ht="14.5">
      <c r="A37" s="473"/>
      <c r="B37" s="456" t="s">
        <v>234</v>
      </c>
      <c r="C37" s="216">
        <f t="shared" si="0"/>
        <v>70.12</v>
      </c>
      <c r="D37" s="216">
        <f t="shared" si="1"/>
        <v>35.099999999999994</v>
      </c>
      <c r="E37" s="216">
        <v>11.86</v>
      </c>
      <c r="F37" s="216">
        <v>23.24</v>
      </c>
      <c r="G37" s="216">
        <f t="shared" si="2"/>
        <v>35.020000000000003</v>
      </c>
      <c r="H37" s="216">
        <v>29.32</v>
      </c>
      <c r="I37" s="222">
        <v>5.7</v>
      </c>
      <c r="J37" s="285"/>
      <c r="K37" s="285"/>
    </row>
    <row r="38" spans="1:11" s="121" customFormat="1" ht="14.5">
      <c r="A38" s="471">
        <v>2019</v>
      </c>
      <c r="B38" s="453" t="s">
        <v>231</v>
      </c>
      <c r="C38" s="227">
        <f t="shared" si="0"/>
        <v>68.41</v>
      </c>
      <c r="D38" s="228">
        <f t="shared" si="1"/>
        <v>38.44</v>
      </c>
      <c r="E38" s="227">
        <v>18.399999999999999</v>
      </c>
      <c r="F38" s="227">
        <v>20.04</v>
      </c>
      <c r="G38" s="227">
        <f t="shared" si="2"/>
        <v>29.97</v>
      </c>
      <c r="H38" s="227">
        <v>22.96</v>
      </c>
      <c r="I38" s="227">
        <v>7.01</v>
      </c>
      <c r="J38" s="285"/>
      <c r="K38" s="285"/>
    </row>
    <row r="39" spans="1:11" s="121" customFormat="1" ht="14.5">
      <c r="A39" s="472"/>
      <c r="B39" s="455" t="s">
        <v>232</v>
      </c>
      <c r="C39" s="214">
        <f t="shared" si="0"/>
        <v>65.78</v>
      </c>
      <c r="D39" s="214">
        <f t="shared" si="1"/>
        <v>37.450000000000003</v>
      </c>
      <c r="E39" s="214">
        <v>16.59</v>
      </c>
      <c r="F39" s="214">
        <v>20.86</v>
      </c>
      <c r="G39" s="214">
        <f t="shared" si="2"/>
        <v>28.330000000000002</v>
      </c>
      <c r="H39" s="214">
        <v>21.67</v>
      </c>
      <c r="I39" s="214">
        <v>6.66</v>
      </c>
      <c r="J39" s="285"/>
      <c r="K39" s="285"/>
    </row>
    <row r="40" spans="1:11" s="121" customFormat="1" ht="14.5">
      <c r="A40" s="472"/>
      <c r="B40" s="455" t="s">
        <v>233</v>
      </c>
      <c r="C40" s="214">
        <f t="shared" si="0"/>
        <v>87.78</v>
      </c>
      <c r="D40" s="214">
        <f t="shared" si="1"/>
        <v>49.95</v>
      </c>
      <c r="E40" s="214">
        <v>29.13</v>
      </c>
      <c r="F40" s="214">
        <v>20.82</v>
      </c>
      <c r="G40" s="214">
        <f t="shared" si="2"/>
        <v>37.83</v>
      </c>
      <c r="H40" s="214">
        <v>30.86</v>
      </c>
      <c r="I40" s="214">
        <v>6.97</v>
      </c>
      <c r="J40" s="285"/>
      <c r="K40" s="285"/>
    </row>
    <row r="41" spans="1:11" s="121" customFormat="1" ht="14.5">
      <c r="A41" s="473"/>
      <c r="B41" s="456" t="s">
        <v>234</v>
      </c>
      <c r="C41" s="216">
        <f t="shared" si="0"/>
        <v>69.22</v>
      </c>
      <c r="D41" s="216">
        <f t="shared" si="1"/>
        <v>39.22</v>
      </c>
      <c r="E41" s="216">
        <v>17.510000000000002</v>
      </c>
      <c r="F41" s="216">
        <v>21.71</v>
      </c>
      <c r="G41" s="216">
        <f t="shared" si="2"/>
        <v>30</v>
      </c>
      <c r="H41" s="216">
        <v>24.01</v>
      </c>
      <c r="I41" s="216">
        <v>5.99</v>
      </c>
      <c r="J41" s="285"/>
      <c r="K41" s="285"/>
    </row>
    <row r="42" spans="1:11" s="121" customFormat="1" ht="14.5">
      <c r="A42" s="471">
        <v>2020</v>
      </c>
      <c r="B42" s="454" t="s">
        <v>231</v>
      </c>
      <c r="C42" s="227">
        <f t="shared" si="0"/>
        <v>79.300000000000011</v>
      </c>
      <c r="D42" s="227">
        <f t="shared" si="1"/>
        <v>42.46</v>
      </c>
      <c r="E42" s="227">
        <v>21.73</v>
      </c>
      <c r="F42" s="227">
        <v>20.73</v>
      </c>
      <c r="G42" s="227">
        <f t="shared" si="2"/>
        <v>36.840000000000003</v>
      </c>
      <c r="H42" s="227">
        <v>29.27</v>
      </c>
      <c r="I42" s="227">
        <v>7.57</v>
      </c>
      <c r="J42" s="285"/>
      <c r="K42" s="285"/>
    </row>
    <row r="43" spans="1:11" s="121" customFormat="1" ht="14.5">
      <c r="A43" s="472"/>
      <c r="B43" s="455" t="s">
        <v>232</v>
      </c>
      <c r="C43" s="214">
        <f t="shared" ref="C43:C55" si="3">D43+G43</f>
        <v>65.509999999999991</v>
      </c>
      <c r="D43" s="214">
        <f t="shared" ref="D43:D46" si="4">E43+F43</f>
        <v>35.44</v>
      </c>
      <c r="E43" s="214">
        <v>14.63</v>
      </c>
      <c r="F43" s="214">
        <v>20.81</v>
      </c>
      <c r="G43" s="214">
        <f t="shared" si="2"/>
        <v>30.07</v>
      </c>
      <c r="H43" s="214">
        <v>24.55</v>
      </c>
      <c r="I43" s="214">
        <v>5.52</v>
      </c>
      <c r="J43" s="285"/>
      <c r="K43" s="285"/>
    </row>
    <row r="44" spans="1:11" s="121" customFormat="1" ht="14.5">
      <c r="A44" s="472"/>
      <c r="B44" s="455" t="s">
        <v>233</v>
      </c>
      <c r="C44" s="214">
        <f t="shared" si="3"/>
        <v>74.94</v>
      </c>
      <c r="D44" s="214">
        <f t="shared" si="4"/>
        <v>44.21</v>
      </c>
      <c r="E44" s="214">
        <v>21.67</v>
      </c>
      <c r="F44" s="214">
        <v>22.54</v>
      </c>
      <c r="G44" s="214">
        <f t="shared" si="2"/>
        <v>30.73</v>
      </c>
      <c r="H44" s="214">
        <v>23.19</v>
      </c>
      <c r="I44" s="214">
        <v>7.54</v>
      </c>
      <c r="J44" s="285"/>
      <c r="K44" s="285"/>
    </row>
    <row r="45" spans="1:11" s="121" customFormat="1" ht="14.5">
      <c r="A45" s="473"/>
      <c r="B45" s="452" t="s">
        <v>234</v>
      </c>
      <c r="C45" s="216">
        <f t="shared" si="3"/>
        <v>80.460000000000008</v>
      </c>
      <c r="D45" s="216">
        <f t="shared" si="4"/>
        <v>40.69</v>
      </c>
      <c r="E45" s="216">
        <v>16.07</v>
      </c>
      <c r="F45" s="216">
        <v>24.62</v>
      </c>
      <c r="G45" s="216">
        <f t="shared" si="2"/>
        <v>39.770000000000003</v>
      </c>
      <c r="H45" s="216">
        <v>32.85</v>
      </c>
      <c r="I45" s="216">
        <v>6.92</v>
      </c>
      <c r="J45" s="285"/>
      <c r="K45" s="285"/>
    </row>
    <row r="46" spans="1:11" s="121" customFormat="1" ht="14.5">
      <c r="A46" s="471">
        <v>2021</v>
      </c>
      <c r="B46" s="454" t="s">
        <v>231</v>
      </c>
      <c r="C46" s="227">
        <f t="shared" si="3"/>
        <v>79.47</v>
      </c>
      <c r="D46" s="227">
        <f t="shared" si="4"/>
        <v>40.290000000000006</v>
      </c>
      <c r="E46" s="227">
        <v>16.350000000000001</v>
      </c>
      <c r="F46" s="227">
        <v>23.94</v>
      </c>
      <c r="G46" s="227">
        <f t="shared" si="2"/>
        <v>39.18</v>
      </c>
      <c r="H46" s="227">
        <v>31.7</v>
      </c>
      <c r="I46" s="227">
        <v>7.48</v>
      </c>
      <c r="J46" s="285"/>
      <c r="K46" s="285"/>
    </row>
    <row r="47" spans="1:11" s="121" customFormat="1" ht="14.5">
      <c r="A47" s="472"/>
      <c r="B47" s="455" t="s">
        <v>232</v>
      </c>
      <c r="C47" s="214">
        <f t="shared" si="3"/>
        <v>73.67</v>
      </c>
      <c r="D47" s="214">
        <f t="shared" ref="D47:D56" si="5">E47+F47</f>
        <v>38.78</v>
      </c>
      <c r="E47" s="214">
        <v>16.57</v>
      </c>
      <c r="F47" s="214">
        <v>22.21</v>
      </c>
      <c r="G47" s="214">
        <f t="shared" si="2"/>
        <v>34.89</v>
      </c>
      <c r="H47" s="214">
        <v>28.94</v>
      </c>
      <c r="I47" s="214">
        <v>5.95</v>
      </c>
      <c r="J47" s="285"/>
      <c r="K47" s="285"/>
    </row>
    <row r="48" spans="1:11" s="121" customFormat="1" ht="14.5">
      <c r="A48" s="472"/>
      <c r="B48" s="455" t="s">
        <v>233</v>
      </c>
      <c r="C48" s="214">
        <f t="shared" si="3"/>
        <v>73.509999999999991</v>
      </c>
      <c r="D48" s="214">
        <f t="shared" si="5"/>
        <v>39.18</v>
      </c>
      <c r="E48" s="214">
        <v>15.55</v>
      </c>
      <c r="F48" s="214">
        <v>23.63</v>
      </c>
      <c r="G48" s="214">
        <f t="shared" si="2"/>
        <v>34.33</v>
      </c>
      <c r="H48" s="214">
        <v>28.56</v>
      </c>
      <c r="I48" s="214">
        <v>5.77</v>
      </c>
      <c r="J48" s="285"/>
      <c r="K48" s="285"/>
    </row>
    <row r="49" spans="1:13" s="121" customFormat="1">
      <c r="A49" s="451"/>
      <c r="B49" s="456" t="s">
        <v>234</v>
      </c>
      <c r="C49" s="216">
        <f t="shared" si="3"/>
        <v>82.98</v>
      </c>
      <c r="D49" s="216">
        <f t="shared" si="5"/>
        <v>46.93</v>
      </c>
      <c r="E49" s="216">
        <v>20.07</v>
      </c>
      <c r="F49" s="216">
        <v>26.86</v>
      </c>
      <c r="G49" s="216">
        <f t="shared" si="2"/>
        <v>36.050000000000004</v>
      </c>
      <c r="H49" s="216">
        <v>29.67</v>
      </c>
      <c r="I49" s="216">
        <v>6.38</v>
      </c>
      <c r="J49" s="285"/>
      <c r="K49" s="285"/>
    </row>
    <row r="50" spans="1:13" s="121" customFormat="1" ht="14.5">
      <c r="A50" s="471">
        <v>2022</v>
      </c>
      <c r="B50" s="454" t="s">
        <v>231</v>
      </c>
      <c r="C50" s="227">
        <f t="shared" si="3"/>
        <v>81.180000000000007</v>
      </c>
      <c r="D50" s="227">
        <f t="shared" si="5"/>
        <v>44.81</v>
      </c>
      <c r="E50" s="227">
        <v>18.18</v>
      </c>
      <c r="F50" s="227">
        <v>26.63</v>
      </c>
      <c r="G50" s="227">
        <f t="shared" si="2"/>
        <v>36.370000000000005</v>
      </c>
      <c r="H50" s="227">
        <v>30.37</v>
      </c>
      <c r="I50" s="227">
        <v>6</v>
      </c>
      <c r="J50" s="285"/>
      <c r="K50" s="285"/>
    </row>
    <row r="51" spans="1:13" s="121" customFormat="1" ht="14.5">
      <c r="A51" s="472"/>
      <c r="B51" s="455" t="s">
        <v>232</v>
      </c>
      <c r="C51" s="214">
        <f t="shared" si="3"/>
        <v>80.039999999999992</v>
      </c>
      <c r="D51" s="214">
        <f t="shared" si="5"/>
        <v>45.46</v>
      </c>
      <c r="E51" s="214">
        <v>17.64</v>
      </c>
      <c r="F51" s="214">
        <v>27.82</v>
      </c>
      <c r="G51" s="214">
        <f t="shared" si="2"/>
        <v>34.58</v>
      </c>
      <c r="H51" s="214">
        <v>27.88</v>
      </c>
      <c r="I51" s="214">
        <v>6.7</v>
      </c>
      <c r="J51" s="285"/>
      <c r="K51" s="285"/>
    </row>
    <row r="52" spans="1:13" s="121" customFormat="1" ht="14.5">
      <c r="A52" s="472"/>
      <c r="B52" s="455" t="s">
        <v>233</v>
      </c>
      <c r="C52" s="214">
        <f t="shared" si="3"/>
        <v>79.710000000000008</v>
      </c>
      <c r="D52" s="214">
        <f t="shared" si="5"/>
        <v>40.790000000000006</v>
      </c>
      <c r="E52" s="214">
        <v>16.28</v>
      </c>
      <c r="F52" s="214">
        <v>24.51</v>
      </c>
      <c r="G52" s="214">
        <f t="shared" si="2"/>
        <v>38.92</v>
      </c>
      <c r="H52" s="214">
        <v>31.4</v>
      </c>
      <c r="I52" s="214">
        <v>7.52</v>
      </c>
      <c r="J52" s="285"/>
      <c r="K52" s="285"/>
    </row>
    <row r="53" spans="1:13" s="121" customFormat="1" ht="14.5">
      <c r="A53" s="473"/>
      <c r="B53" s="456" t="s">
        <v>234</v>
      </c>
      <c r="C53" s="216">
        <f t="shared" si="3"/>
        <v>88.73</v>
      </c>
      <c r="D53" s="216">
        <f t="shared" si="5"/>
        <v>45.230000000000004</v>
      </c>
      <c r="E53" s="216">
        <v>16.260000000000002</v>
      </c>
      <c r="F53" s="216">
        <v>28.97</v>
      </c>
      <c r="G53" s="216">
        <f t="shared" si="2"/>
        <v>43.5</v>
      </c>
      <c r="H53" s="216">
        <v>37.869999999999997</v>
      </c>
      <c r="I53" s="216">
        <v>5.63</v>
      </c>
      <c r="J53" s="285"/>
      <c r="K53" s="285"/>
    </row>
    <row r="54" spans="1:13" s="121" customFormat="1" ht="14.5">
      <c r="A54" s="471">
        <v>2023</v>
      </c>
      <c r="B54" s="454" t="s">
        <v>231</v>
      </c>
      <c r="C54" s="227">
        <f t="shared" si="3"/>
        <v>84.570000000000007</v>
      </c>
      <c r="D54" s="227">
        <f t="shared" si="5"/>
        <v>46.260000000000005</v>
      </c>
      <c r="E54" s="227">
        <v>20.82</v>
      </c>
      <c r="F54" s="227">
        <v>25.44</v>
      </c>
      <c r="G54" s="227">
        <f t="shared" si="2"/>
        <v>38.31</v>
      </c>
      <c r="H54" s="227">
        <v>31.56</v>
      </c>
      <c r="I54" s="227">
        <v>6.75</v>
      </c>
      <c r="J54" s="285"/>
      <c r="K54" s="285"/>
      <c r="L54" s="120"/>
      <c r="M54" s="120"/>
    </row>
    <row r="55" spans="1:13" s="121" customFormat="1" ht="14.5">
      <c r="A55" s="472"/>
      <c r="B55" s="455" t="s">
        <v>232</v>
      </c>
      <c r="C55" s="214">
        <f t="shared" si="3"/>
        <v>83.867000000000004</v>
      </c>
      <c r="D55" s="214">
        <f t="shared" si="5"/>
        <v>47.641000000000005</v>
      </c>
      <c r="E55" s="214">
        <v>22.274000000000001</v>
      </c>
      <c r="F55" s="214">
        <v>25.367000000000001</v>
      </c>
      <c r="G55" s="214">
        <f t="shared" si="2"/>
        <v>36.225999999999999</v>
      </c>
      <c r="H55" s="214">
        <v>29.103000000000002</v>
      </c>
      <c r="I55" s="214">
        <v>7.1230000000000002</v>
      </c>
      <c r="J55" s="285"/>
      <c r="K55" s="285"/>
      <c r="L55" s="120"/>
      <c r="M55" s="120"/>
    </row>
    <row r="56" spans="1:13" s="121" customFormat="1" ht="14.5">
      <c r="A56" s="472"/>
      <c r="B56" s="455" t="s">
        <v>233</v>
      </c>
      <c r="C56" s="214">
        <f t="shared" ref="C56" si="6">D56+G56</f>
        <v>77.84</v>
      </c>
      <c r="D56" s="214">
        <f t="shared" si="5"/>
        <v>41.51</v>
      </c>
      <c r="E56" s="214">
        <v>14.87</v>
      </c>
      <c r="F56" s="214">
        <v>26.64</v>
      </c>
      <c r="G56" s="214">
        <f t="shared" si="2"/>
        <v>36.33</v>
      </c>
      <c r="H56" s="214">
        <v>27.39</v>
      </c>
      <c r="I56" s="214">
        <v>8.94</v>
      </c>
      <c r="J56" s="285"/>
      <c r="K56" s="285"/>
      <c r="L56" s="120"/>
      <c r="M56" s="120"/>
    </row>
    <row r="57" spans="1:13" s="121" customFormat="1" ht="14.5">
      <c r="A57" s="473"/>
      <c r="B57" s="456" t="s">
        <v>234</v>
      </c>
      <c r="C57" s="216">
        <f t="shared" ref="C57" si="7">D57+G57</f>
        <v>93.19</v>
      </c>
      <c r="D57" s="216">
        <f t="shared" ref="D57" si="8">E57+F57</f>
        <v>45.77</v>
      </c>
      <c r="E57" s="216">
        <v>16.850000000000001</v>
      </c>
      <c r="F57" s="216">
        <v>28.92</v>
      </c>
      <c r="G57" s="216">
        <f t="shared" si="2"/>
        <v>47.42</v>
      </c>
      <c r="H57" s="216">
        <v>39.020000000000003</v>
      </c>
      <c r="I57" s="216">
        <v>8.4</v>
      </c>
      <c r="J57" s="285"/>
      <c r="K57" s="285"/>
      <c r="L57" s="120"/>
      <c r="M57" s="120"/>
    </row>
    <row r="58" spans="1:13" s="121" customFormat="1" ht="14.5">
      <c r="A58" s="471">
        <v>2024</v>
      </c>
      <c r="B58" s="454" t="s">
        <v>231</v>
      </c>
      <c r="C58" s="227">
        <f t="shared" ref="C58:C59" si="9">D58+G58</f>
        <v>91.88</v>
      </c>
      <c r="D58" s="227">
        <f t="shared" ref="D58:D59" si="10">E58+F58</f>
        <v>50.92</v>
      </c>
      <c r="E58" s="227">
        <v>25.23</v>
      </c>
      <c r="F58" s="227">
        <v>25.69</v>
      </c>
      <c r="G58" s="227">
        <f t="shared" si="2"/>
        <v>40.96</v>
      </c>
      <c r="H58" s="227">
        <v>35.020000000000003</v>
      </c>
      <c r="I58" s="227">
        <v>5.94</v>
      </c>
      <c r="J58" s="285"/>
      <c r="K58" s="285"/>
      <c r="L58" s="120"/>
      <c r="M58" s="120"/>
    </row>
    <row r="59" spans="1:13" s="121" customFormat="1" ht="14.5">
      <c r="A59" s="472"/>
      <c r="B59" s="455" t="s">
        <v>232</v>
      </c>
      <c r="C59" s="214">
        <f t="shared" si="9"/>
        <v>79.930000000000007</v>
      </c>
      <c r="D59" s="214">
        <f t="shared" si="10"/>
        <v>40.65</v>
      </c>
      <c r="E59" s="232">
        <v>15.849999999999998</v>
      </c>
      <c r="F59" s="214">
        <v>24.8</v>
      </c>
      <c r="G59" s="214">
        <f t="shared" si="2"/>
        <v>39.28</v>
      </c>
      <c r="H59" s="214">
        <v>32.15</v>
      </c>
      <c r="I59" s="214">
        <v>7.13</v>
      </c>
      <c r="J59" s="285"/>
      <c r="K59" s="285"/>
      <c r="L59" s="120"/>
      <c r="M59" s="120"/>
    </row>
    <row r="60" spans="1:13" s="121" customFormat="1" ht="14.5">
      <c r="A60" s="472"/>
      <c r="B60" s="455" t="s">
        <v>233</v>
      </c>
      <c r="C60" s="214">
        <f t="shared" ref="C60" si="11">D60+G60</f>
        <v>79.029999999999987</v>
      </c>
      <c r="D60" s="214">
        <f t="shared" ref="D60" si="12">E60+F60</f>
        <v>39.89</v>
      </c>
      <c r="E60" s="214">
        <v>14.129999999999999</v>
      </c>
      <c r="F60" s="214">
        <v>25.76</v>
      </c>
      <c r="G60" s="214">
        <f t="shared" si="2"/>
        <v>39.139999999999986</v>
      </c>
      <c r="H60" s="214">
        <v>29.399999999999984</v>
      </c>
      <c r="I60" s="214">
        <v>9.7399999999999984</v>
      </c>
      <c r="J60" s="285"/>
      <c r="K60" s="285"/>
      <c r="L60" s="120"/>
      <c r="M60" s="120"/>
    </row>
    <row r="61" spans="1:13" s="121" customFormat="1" ht="14.5">
      <c r="A61" s="473"/>
      <c r="B61" s="456" t="s">
        <v>234</v>
      </c>
      <c r="C61" s="216">
        <f t="shared" ref="C61" si="13">D61+G61</f>
        <v>95.570000000000022</v>
      </c>
      <c r="D61" s="216">
        <f t="shared" ref="D61" si="14">E61+F61</f>
        <v>49.38000000000001</v>
      </c>
      <c r="E61" s="216">
        <v>20.350000000000012</v>
      </c>
      <c r="F61" s="216">
        <v>29.029999999999998</v>
      </c>
      <c r="G61" s="216">
        <f t="shared" si="2"/>
        <v>46.190000000000012</v>
      </c>
      <c r="H61" s="216">
        <v>40.370000000000012</v>
      </c>
      <c r="I61" s="216">
        <v>5.8200000000000012</v>
      </c>
      <c r="J61" s="285"/>
      <c r="K61" s="285"/>
      <c r="L61" s="120"/>
      <c r="M61" s="120"/>
    </row>
    <row r="62" spans="1:13" s="121" customFormat="1" ht="14.5">
      <c r="A62" s="471">
        <v>2025</v>
      </c>
      <c r="B62" s="454" t="s">
        <v>231</v>
      </c>
      <c r="C62" s="227">
        <f t="shared" ref="C62" si="15">D62+G62</f>
        <v>80.363</v>
      </c>
      <c r="D62" s="227">
        <f t="shared" ref="D62" si="16">E62+F62</f>
        <v>41.094000000000001</v>
      </c>
      <c r="E62" s="227">
        <v>24.07</v>
      </c>
      <c r="F62" s="227">
        <v>17.024000000000001</v>
      </c>
      <c r="G62" s="227">
        <f t="shared" si="2"/>
        <v>39.269000000000005</v>
      </c>
      <c r="H62" s="227">
        <v>30.292000000000002</v>
      </c>
      <c r="I62" s="227">
        <v>8.9770000000000003</v>
      </c>
      <c r="J62" s="285"/>
      <c r="K62" s="285"/>
      <c r="L62" s="120"/>
      <c r="M62" s="120"/>
    </row>
    <row r="63" spans="1:13" s="121" customFormat="1" ht="14.5">
      <c r="A63" s="473"/>
      <c r="B63" s="456" t="s">
        <v>232</v>
      </c>
      <c r="C63" s="216">
        <f t="shared" ref="C63" si="17">D63+G63</f>
        <v>91.364999999999995</v>
      </c>
      <c r="D63" s="216">
        <f t="shared" ref="D63" si="18">E63+F63</f>
        <v>60.844999999999999</v>
      </c>
      <c r="E63" s="216">
        <v>16.698999999999998</v>
      </c>
      <c r="F63" s="216">
        <v>44.146000000000001</v>
      </c>
      <c r="G63" s="216">
        <f t="shared" si="2"/>
        <v>30.52</v>
      </c>
      <c r="H63" s="216">
        <v>29.39</v>
      </c>
      <c r="I63" s="216">
        <v>1.1299999999999999</v>
      </c>
      <c r="J63" s="285"/>
      <c r="K63" s="285"/>
      <c r="L63" s="120"/>
      <c r="M63" s="120"/>
    </row>
    <row r="64" spans="1:13">
      <c r="C64" s="74"/>
      <c r="D64" s="74"/>
      <c r="E64" s="74"/>
      <c r="F64" s="74"/>
      <c r="G64" s="74"/>
      <c r="H64" s="74"/>
      <c r="I64" s="74"/>
    </row>
    <row r="65" spans="1:1">
      <c r="A65" s="491" t="s">
        <v>195</v>
      </c>
    </row>
    <row r="66" spans="1:1">
      <c r="A66" s="475"/>
    </row>
    <row r="67" spans="1:1">
      <c r="A67" s="475" t="s">
        <v>119</v>
      </c>
    </row>
    <row r="68" spans="1:1">
      <c r="A68" s="475" t="s">
        <v>120</v>
      </c>
    </row>
  </sheetData>
  <sheetProtection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0"/>
  <sheetViews>
    <sheetView zoomScaleNormal="100" workbookViewId="0">
      <pane ySplit="5" topLeftCell="A50" activePane="bottomLeft" state="frozen"/>
      <selection activeCell="G153" sqref="G153"/>
      <selection pane="bottomLeft" sqref="A1:F1"/>
    </sheetView>
  </sheetViews>
  <sheetFormatPr defaultColWidth="9.1796875" defaultRowHeight="13"/>
  <cols>
    <col min="1" max="2" width="6.81640625" style="65" customWidth="1"/>
    <col min="3" max="9" width="13.81640625" style="65" customWidth="1"/>
    <col min="10" max="16384" width="9.1796875" style="65"/>
  </cols>
  <sheetData>
    <row r="1" spans="1:11" s="70" customFormat="1" ht="14">
      <c r="A1" s="716" t="s">
        <v>280</v>
      </c>
      <c r="B1" s="716"/>
      <c r="C1" s="716"/>
      <c r="D1" s="716"/>
      <c r="E1" s="716"/>
      <c r="F1" s="716"/>
      <c r="G1" s="65"/>
      <c r="H1" s="65"/>
      <c r="I1" s="65"/>
    </row>
    <row r="2" spans="1:11">
      <c r="A2" s="750" t="s">
        <v>97</v>
      </c>
      <c r="B2" s="750"/>
      <c r="C2" s="750"/>
      <c r="D2" s="750"/>
      <c r="E2" s="750"/>
      <c r="F2" s="750"/>
      <c r="G2" s="750"/>
      <c r="H2" s="750"/>
      <c r="I2" s="750"/>
    </row>
    <row r="3" spans="1:11" s="121" customFormat="1" ht="15" customHeight="1">
      <c r="A3" s="735" t="s">
        <v>98</v>
      </c>
      <c r="B3" s="739"/>
      <c r="C3" s="806" t="s">
        <v>281</v>
      </c>
      <c r="D3" s="807"/>
      <c r="E3" s="807"/>
      <c r="F3" s="807"/>
      <c r="G3" s="807"/>
      <c r="H3" s="807"/>
      <c r="I3" s="808"/>
    </row>
    <row r="4" spans="1:11" s="121" customFormat="1" ht="15" customHeight="1">
      <c r="A4" s="740"/>
      <c r="B4" s="741"/>
      <c r="C4" s="809" t="s">
        <v>102</v>
      </c>
      <c r="D4" s="818" t="s">
        <v>272</v>
      </c>
      <c r="E4" s="819"/>
      <c r="F4" s="820"/>
      <c r="G4" s="818" t="s">
        <v>273</v>
      </c>
      <c r="H4" s="819"/>
      <c r="I4" s="820"/>
    </row>
    <row r="5" spans="1:11" s="121" customFormat="1" ht="20.25" customHeight="1">
      <c r="A5" s="736"/>
      <c r="B5" s="742"/>
      <c r="C5" s="809"/>
      <c r="D5" s="522" t="s">
        <v>102</v>
      </c>
      <c r="E5" s="498" t="s">
        <v>274</v>
      </c>
      <c r="F5" s="498" t="s">
        <v>275</v>
      </c>
      <c r="G5" s="522" t="s">
        <v>102</v>
      </c>
      <c r="H5" s="498" t="s">
        <v>274</v>
      </c>
      <c r="I5" s="498" t="s">
        <v>277</v>
      </c>
    </row>
    <row r="6" spans="1:11" s="121" customFormat="1" ht="14.5">
      <c r="A6" s="471">
        <v>2011</v>
      </c>
      <c r="B6" s="454" t="s">
        <v>231</v>
      </c>
      <c r="C6" s="227">
        <f>D6+G6</f>
        <v>19.89</v>
      </c>
      <c r="D6" s="228">
        <f>E6+F6</f>
        <v>14.77</v>
      </c>
      <c r="E6" s="227">
        <v>2.86</v>
      </c>
      <c r="F6" s="316">
        <v>11.91</v>
      </c>
      <c r="G6" s="227">
        <f>H6+I6</f>
        <v>5.12</v>
      </c>
      <c r="H6" s="316">
        <v>3.78</v>
      </c>
      <c r="I6" s="229">
        <v>1.34</v>
      </c>
      <c r="J6" s="120"/>
      <c r="K6" s="120"/>
    </row>
    <row r="7" spans="1:11" s="121" customFormat="1" ht="14.5">
      <c r="A7" s="472"/>
      <c r="B7" s="455" t="s">
        <v>232</v>
      </c>
      <c r="C7" s="214">
        <f>D7+G7</f>
        <v>25.330000000000002</v>
      </c>
      <c r="D7" s="209">
        <f>E7+F7</f>
        <v>18.350000000000001</v>
      </c>
      <c r="E7" s="214">
        <v>3.12</v>
      </c>
      <c r="F7" s="208">
        <v>15.23</v>
      </c>
      <c r="G7" s="214">
        <f>H7+I7</f>
        <v>6.98</v>
      </c>
      <c r="H7" s="208">
        <v>4.6900000000000004</v>
      </c>
      <c r="I7" s="210">
        <v>2.29</v>
      </c>
      <c r="J7" s="120"/>
      <c r="K7" s="120"/>
    </row>
    <row r="8" spans="1:11" s="121" customFormat="1" ht="14.5">
      <c r="A8" s="472"/>
      <c r="B8" s="455" t="s">
        <v>233</v>
      </c>
      <c r="C8" s="214">
        <f t="shared" ref="C8:C33" si="0">D8+G8</f>
        <v>23.21</v>
      </c>
      <c r="D8" s="209">
        <f t="shared" ref="D8:D33" si="1">E8+F8</f>
        <v>18.05</v>
      </c>
      <c r="E8" s="214">
        <v>2.86</v>
      </c>
      <c r="F8" s="208">
        <v>15.19</v>
      </c>
      <c r="G8" s="214">
        <f t="shared" ref="G8:G33" si="2">H8+I8</f>
        <v>5.16</v>
      </c>
      <c r="H8" s="208">
        <v>4.63</v>
      </c>
      <c r="I8" s="210">
        <v>0.53</v>
      </c>
      <c r="J8" s="120"/>
      <c r="K8" s="120"/>
    </row>
    <row r="9" spans="1:11" s="121" customFormat="1" ht="14.5">
      <c r="A9" s="473"/>
      <c r="B9" s="456" t="s">
        <v>234</v>
      </c>
      <c r="C9" s="216">
        <f t="shared" si="0"/>
        <v>30.439999999999998</v>
      </c>
      <c r="D9" s="211">
        <f t="shared" si="1"/>
        <v>19.22</v>
      </c>
      <c r="E9" s="216">
        <v>4.7699999999999996</v>
      </c>
      <c r="F9" s="213">
        <v>14.45</v>
      </c>
      <c r="G9" s="216">
        <f t="shared" si="2"/>
        <v>11.219999999999999</v>
      </c>
      <c r="H9" s="217">
        <v>8.11</v>
      </c>
      <c r="I9" s="212">
        <v>3.11</v>
      </c>
      <c r="J9" s="120"/>
      <c r="K9" s="120"/>
    </row>
    <row r="10" spans="1:11" s="121" customFormat="1" ht="14.5">
      <c r="A10" s="472">
        <v>2012</v>
      </c>
      <c r="B10" s="455" t="s">
        <v>231</v>
      </c>
      <c r="C10" s="214">
        <f t="shared" si="0"/>
        <v>26.49</v>
      </c>
      <c r="D10" s="209">
        <f t="shared" si="1"/>
        <v>16.309999999999999</v>
      </c>
      <c r="E10" s="214">
        <v>3.7</v>
      </c>
      <c r="F10" s="208">
        <v>12.61</v>
      </c>
      <c r="G10" s="214">
        <f t="shared" si="2"/>
        <v>10.18</v>
      </c>
      <c r="H10" s="208">
        <v>8.5399999999999991</v>
      </c>
      <c r="I10" s="210">
        <v>1.64</v>
      </c>
      <c r="J10" s="120"/>
      <c r="K10" s="120"/>
    </row>
    <row r="11" spans="1:11" s="121" customFormat="1" ht="14.5">
      <c r="A11" s="472"/>
      <c r="B11" s="455" t="s">
        <v>232</v>
      </c>
      <c r="C11" s="214">
        <f t="shared" si="0"/>
        <v>25.86</v>
      </c>
      <c r="D11" s="209">
        <f t="shared" si="1"/>
        <v>15.34</v>
      </c>
      <c r="E11" s="214">
        <v>2.67</v>
      </c>
      <c r="F11" s="208">
        <v>12.67</v>
      </c>
      <c r="G11" s="214">
        <f t="shared" si="2"/>
        <v>10.52</v>
      </c>
      <c r="H11" s="208">
        <v>7.48</v>
      </c>
      <c r="I11" s="210">
        <v>3.04</v>
      </c>
      <c r="J11" s="120"/>
      <c r="K11" s="120"/>
    </row>
    <row r="12" spans="1:11" s="121" customFormat="1" ht="14.5">
      <c r="A12" s="472"/>
      <c r="B12" s="455" t="s">
        <v>233</v>
      </c>
      <c r="C12" s="214">
        <f t="shared" si="0"/>
        <v>29.409999999999997</v>
      </c>
      <c r="D12" s="209">
        <f t="shared" si="1"/>
        <v>17.559999999999999</v>
      </c>
      <c r="E12" s="214">
        <v>3.29</v>
      </c>
      <c r="F12" s="208">
        <v>14.27</v>
      </c>
      <c r="G12" s="214">
        <f t="shared" si="2"/>
        <v>11.85</v>
      </c>
      <c r="H12" s="208">
        <v>8.99</v>
      </c>
      <c r="I12" s="210">
        <v>2.86</v>
      </c>
      <c r="J12" s="120"/>
      <c r="K12" s="120"/>
    </row>
    <row r="13" spans="1:11" s="121" customFormat="1" ht="14.5">
      <c r="A13" s="472"/>
      <c r="B13" s="455" t="s">
        <v>234</v>
      </c>
      <c r="C13" s="216">
        <f t="shared" si="0"/>
        <v>32.300000000000004</v>
      </c>
      <c r="D13" s="211">
        <f t="shared" si="1"/>
        <v>20.400000000000002</v>
      </c>
      <c r="E13" s="216">
        <v>2.87</v>
      </c>
      <c r="F13" s="213">
        <v>17.53</v>
      </c>
      <c r="G13" s="216">
        <f t="shared" si="2"/>
        <v>11.9</v>
      </c>
      <c r="H13" s="213">
        <v>7.74</v>
      </c>
      <c r="I13" s="212">
        <v>4.16</v>
      </c>
      <c r="J13" s="120"/>
      <c r="K13" s="120"/>
    </row>
    <row r="14" spans="1:11" s="121" customFormat="1" ht="14.5">
      <c r="A14" s="471">
        <v>2013</v>
      </c>
      <c r="B14" s="454" t="s">
        <v>231</v>
      </c>
      <c r="C14" s="214">
        <f t="shared" si="0"/>
        <v>30.83</v>
      </c>
      <c r="D14" s="209">
        <f t="shared" si="1"/>
        <v>16.25</v>
      </c>
      <c r="E14" s="214">
        <v>3.02</v>
      </c>
      <c r="F14" s="209">
        <v>13.23</v>
      </c>
      <c r="G14" s="214">
        <f t="shared" si="2"/>
        <v>14.579999999999998</v>
      </c>
      <c r="H14" s="209">
        <v>12.29</v>
      </c>
      <c r="I14" s="214">
        <v>2.29</v>
      </c>
      <c r="J14" s="120"/>
      <c r="K14" s="120"/>
    </row>
    <row r="15" spans="1:11" s="121" customFormat="1" ht="14.5">
      <c r="A15" s="472"/>
      <c r="B15" s="455" t="s">
        <v>232</v>
      </c>
      <c r="C15" s="214">
        <f t="shared" si="0"/>
        <v>33.200000000000003</v>
      </c>
      <c r="D15" s="209">
        <f t="shared" si="1"/>
        <v>21.34</v>
      </c>
      <c r="E15" s="214">
        <v>3.38</v>
      </c>
      <c r="F15" s="209">
        <v>17.96</v>
      </c>
      <c r="G15" s="214">
        <f t="shared" si="2"/>
        <v>11.860000000000001</v>
      </c>
      <c r="H15" s="209">
        <v>8.8800000000000008</v>
      </c>
      <c r="I15" s="214">
        <v>2.98</v>
      </c>
      <c r="J15" s="120"/>
      <c r="K15" s="120"/>
    </row>
    <row r="16" spans="1:11" s="121" customFormat="1" ht="14.5">
      <c r="A16" s="472"/>
      <c r="B16" s="455" t="s">
        <v>233</v>
      </c>
      <c r="C16" s="214">
        <f t="shared" si="0"/>
        <v>33.64</v>
      </c>
      <c r="D16" s="209">
        <f t="shared" si="1"/>
        <v>19.71</v>
      </c>
      <c r="E16" s="214">
        <v>4.13</v>
      </c>
      <c r="F16" s="209">
        <v>15.58</v>
      </c>
      <c r="G16" s="214">
        <f t="shared" si="2"/>
        <v>13.930000000000001</v>
      </c>
      <c r="H16" s="209">
        <v>13.38</v>
      </c>
      <c r="I16" s="214">
        <v>0.55000000000000004</v>
      </c>
      <c r="J16" s="120"/>
      <c r="K16" s="120"/>
    </row>
    <row r="17" spans="1:11" s="121" customFormat="1" ht="14.5">
      <c r="A17" s="473"/>
      <c r="B17" s="456" t="s">
        <v>234</v>
      </c>
      <c r="C17" s="216">
        <f t="shared" si="0"/>
        <v>33.85</v>
      </c>
      <c r="D17" s="211">
        <f t="shared" si="1"/>
        <v>22.96</v>
      </c>
      <c r="E17" s="216">
        <v>7.06</v>
      </c>
      <c r="F17" s="211">
        <v>15.9</v>
      </c>
      <c r="G17" s="216">
        <f t="shared" si="2"/>
        <v>10.89</v>
      </c>
      <c r="H17" s="211">
        <v>6.74</v>
      </c>
      <c r="I17" s="216">
        <v>4.1500000000000004</v>
      </c>
      <c r="J17" s="120"/>
      <c r="K17" s="120"/>
    </row>
    <row r="18" spans="1:11" s="121" customFormat="1" ht="14.5">
      <c r="A18" s="471">
        <v>2014</v>
      </c>
      <c r="B18" s="454" t="s">
        <v>231</v>
      </c>
      <c r="C18" s="214">
        <f t="shared" si="0"/>
        <v>36.07</v>
      </c>
      <c r="D18" s="209">
        <f t="shared" si="1"/>
        <v>24.88</v>
      </c>
      <c r="E18" s="214">
        <v>9.7899999999999991</v>
      </c>
      <c r="F18" s="209">
        <v>15.09</v>
      </c>
      <c r="G18" s="214">
        <f t="shared" si="2"/>
        <v>11.190000000000001</v>
      </c>
      <c r="H18" s="228">
        <v>8.4700000000000006</v>
      </c>
      <c r="I18" s="227">
        <v>2.72</v>
      </c>
      <c r="J18" s="120"/>
      <c r="K18" s="120"/>
    </row>
    <row r="19" spans="1:11" s="121" customFormat="1" ht="14.5">
      <c r="A19" s="472"/>
      <c r="B19" s="455" t="s">
        <v>232</v>
      </c>
      <c r="C19" s="214">
        <f t="shared" si="0"/>
        <v>35.47</v>
      </c>
      <c r="D19" s="209">
        <f t="shared" si="1"/>
        <v>18.22</v>
      </c>
      <c r="E19" s="214">
        <v>3.6</v>
      </c>
      <c r="F19" s="209">
        <v>14.62</v>
      </c>
      <c r="G19" s="214">
        <f t="shared" si="2"/>
        <v>17.25</v>
      </c>
      <c r="H19" s="209">
        <v>8.65</v>
      </c>
      <c r="I19" s="214">
        <v>8.6</v>
      </c>
      <c r="J19" s="120"/>
      <c r="K19" s="120"/>
    </row>
    <row r="20" spans="1:11" s="121" customFormat="1" ht="14.5">
      <c r="A20" s="472"/>
      <c r="B20" s="455" t="s">
        <v>233</v>
      </c>
      <c r="C20" s="214">
        <f t="shared" si="0"/>
        <v>33.35</v>
      </c>
      <c r="D20" s="209">
        <f t="shared" si="1"/>
        <v>17.82</v>
      </c>
      <c r="E20" s="214">
        <v>3.39</v>
      </c>
      <c r="F20" s="209">
        <v>14.43</v>
      </c>
      <c r="G20" s="214">
        <f t="shared" si="2"/>
        <v>15.53</v>
      </c>
      <c r="H20" s="209">
        <v>9.01</v>
      </c>
      <c r="I20" s="214">
        <v>6.52</v>
      </c>
      <c r="J20" s="120"/>
      <c r="K20" s="120"/>
    </row>
    <row r="21" spans="1:11" s="121" customFormat="1" ht="14.5">
      <c r="A21" s="473"/>
      <c r="B21" s="456" t="s">
        <v>234</v>
      </c>
      <c r="C21" s="216">
        <f t="shared" si="0"/>
        <v>31.990000000000002</v>
      </c>
      <c r="D21" s="211">
        <f t="shared" si="1"/>
        <v>17.52</v>
      </c>
      <c r="E21" s="216">
        <v>3.16</v>
      </c>
      <c r="F21" s="211">
        <v>14.36</v>
      </c>
      <c r="G21" s="216">
        <f t="shared" si="2"/>
        <v>14.47</v>
      </c>
      <c r="H21" s="222">
        <v>7.86</v>
      </c>
      <c r="I21" s="216">
        <v>6.61</v>
      </c>
      <c r="J21" s="120"/>
      <c r="K21" s="120"/>
    </row>
    <row r="22" spans="1:11" s="121" customFormat="1" ht="14.5">
      <c r="A22" s="472">
        <v>2015</v>
      </c>
      <c r="B22" s="453" t="s">
        <v>231</v>
      </c>
      <c r="C22" s="214">
        <f t="shared" si="0"/>
        <v>34.43</v>
      </c>
      <c r="D22" s="209">
        <f t="shared" si="1"/>
        <v>18.149999999999999</v>
      </c>
      <c r="E22" s="214">
        <v>3.25</v>
      </c>
      <c r="F22" s="209">
        <v>14.9</v>
      </c>
      <c r="G22" s="214">
        <f t="shared" si="2"/>
        <v>16.28</v>
      </c>
      <c r="H22" s="209">
        <v>8.5299999999999994</v>
      </c>
      <c r="I22" s="227">
        <v>7.75</v>
      </c>
      <c r="J22" s="120"/>
      <c r="K22" s="120"/>
    </row>
    <row r="23" spans="1:11" s="121" customFormat="1" ht="14.5">
      <c r="A23" s="480"/>
      <c r="B23" s="450" t="s">
        <v>232</v>
      </c>
      <c r="C23" s="214">
        <f t="shared" si="0"/>
        <v>35.369999999999997</v>
      </c>
      <c r="D23" s="209">
        <f t="shared" si="1"/>
        <v>21.349999999999998</v>
      </c>
      <c r="E23" s="214">
        <v>3.54</v>
      </c>
      <c r="F23" s="214">
        <v>17.809999999999999</v>
      </c>
      <c r="G23" s="214">
        <f t="shared" si="2"/>
        <v>14.02</v>
      </c>
      <c r="H23" s="214">
        <v>8.6999999999999993</v>
      </c>
      <c r="I23" s="214">
        <v>5.32</v>
      </c>
      <c r="J23" s="120"/>
      <c r="K23" s="120"/>
    </row>
    <row r="24" spans="1:11" s="121" customFormat="1" ht="14.5">
      <c r="A24" s="480"/>
      <c r="B24" s="450" t="s">
        <v>233</v>
      </c>
      <c r="C24" s="214">
        <f t="shared" si="0"/>
        <v>40.199999999999996</v>
      </c>
      <c r="D24" s="209">
        <f t="shared" si="1"/>
        <v>27.439999999999998</v>
      </c>
      <c r="E24" s="214">
        <v>10.65</v>
      </c>
      <c r="F24" s="214">
        <v>16.79</v>
      </c>
      <c r="G24" s="214">
        <f t="shared" si="2"/>
        <v>12.76</v>
      </c>
      <c r="H24" s="214">
        <v>5.31</v>
      </c>
      <c r="I24" s="214">
        <v>7.45</v>
      </c>
      <c r="J24" s="120"/>
      <c r="K24" s="120"/>
    </row>
    <row r="25" spans="1:11" s="121" customFormat="1" ht="14.5">
      <c r="A25" s="473"/>
      <c r="B25" s="456" t="s">
        <v>234</v>
      </c>
      <c r="C25" s="216">
        <f t="shared" si="0"/>
        <v>32.709999999999994</v>
      </c>
      <c r="D25" s="211">
        <f t="shared" si="1"/>
        <v>17.7</v>
      </c>
      <c r="E25" s="216">
        <v>2.54</v>
      </c>
      <c r="F25" s="216">
        <v>15.16</v>
      </c>
      <c r="G25" s="216">
        <f t="shared" si="2"/>
        <v>15.009999999999998</v>
      </c>
      <c r="H25" s="216">
        <v>9.3699999999999992</v>
      </c>
      <c r="I25" s="216">
        <v>5.64</v>
      </c>
      <c r="J25" s="120"/>
      <c r="K25" s="120"/>
    </row>
    <row r="26" spans="1:11" s="121" customFormat="1" ht="14.5">
      <c r="A26" s="471">
        <v>2016</v>
      </c>
      <c r="B26" s="453" t="s">
        <v>231</v>
      </c>
      <c r="C26" s="214">
        <f t="shared" si="0"/>
        <v>39.28</v>
      </c>
      <c r="D26" s="209">
        <f t="shared" si="1"/>
        <v>20.919999999999998</v>
      </c>
      <c r="E26" s="214">
        <v>3.84</v>
      </c>
      <c r="F26" s="214">
        <v>17.079999999999998</v>
      </c>
      <c r="G26" s="214">
        <f t="shared" si="2"/>
        <v>18.36</v>
      </c>
      <c r="H26" s="214">
        <v>10.07</v>
      </c>
      <c r="I26" s="227">
        <v>8.2899999999999991</v>
      </c>
      <c r="J26" s="120"/>
      <c r="K26" s="120"/>
    </row>
    <row r="27" spans="1:11" s="121" customFormat="1" ht="14.5">
      <c r="A27" s="472"/>
      <c r="B27" s="450" t="s">
        <v>232</v>
      </c>
      <c r="C27" s="214">
        <f t="shared" si="0"/>
        <v>35.200000000000003</v>
      </c>
      <c r="D27" s="209">
        <f t="shared" si="1"/>
        <v>16.47</v>
      </c>
      <c r="E27" s="214">
        <v>2.62</v>
      </c>
      <c r="F27" s="214">
        <v>13.85</v>
      </c>
      <c r="G27" s="214">
        <f t="shared" si="2"/>
        <v>18.73</v>
      </c>
      <c r="H27" s="214">
        <v>11.28</v>
      </c>
      <c r="I27" s="214">
        <v>7.45</v>
      </c>
      <c r="J27" s="120"/>
      <c r="K27" s="120"/>
    </row>
    <row r="28" spans="1:11" s="121" customFormat="1" ht="14.5">
      <c r="A28" s="472"/>
      <c r="B28" s="450" t="s">
        <v>233</v>
      </c>
      <c r="C28" s="214">
        <f t="shared" si="0"/>
        <v>37.85</v>
      </c>
      <c r="D28" s="209">
        <f t="shared" si="1"/>
        <v>17.28</v>
      </c>
      <c r="E28" s="214">
        <v>2.08</v>
      </c>
      <c r="F28" s="214">
        <v>15.2</v>
      </c>
      <c r="G28" s="214">
        <f t="shared" si="2"/>
        <v>20.57</v>
      </c>
      <c r="H28" s="214">
        <v>16.399999999999999</v>
      </c>
      <c r="I28" s="214">
        <v>4.17</v>
      </c>
      <c r="J28" s="120"/>
      <c r="K28" s="120"/>
    </row>
    <row r="29" spans="1:11" s="121" customFormat="1" ht="14.5">
      <c r="A29" s="473"/>
      <c r="B29" s="452" t="s">
        <v>234</v>
      </c>
      <c r="C29" s="216">
        <f t="shared" si="0"/>
        <v>61.84</v>
      </c>
      <c r="D29" s="211">
        <f t="shared" si="1"/>
        <v>26.62</v>
      </c>
      <c r="E29" s="216">
        <v>6.41</v>
      </c>
      <c r="F29" s="216">
        <v>20.21</v>
      </c>
      <c r="G29" s="216">
        <f t="shared" si="2"/>
        <v>35.22</v>
      </c>
      <c r="H29" s="216">
        <v>29.14</v>
      </c>
      <c r="I29" s="216">
        <v>6.08</v>
      </c>
      <c r="J29" s="120"/>
      <c r="K29" s="120"/>
    </row>
    <row r="30" spans="1:11" s="121" customFormat="1" ht="14.25" customHeight="1">
      <c r="A30" s="471">
        <v>2017</v>
      </c>
      <c r="B30" s="453" t="s">
        <v>231</v>
      </c>
      <c r="C30" s="214">
        <f t="shared" si="0"/>
        <v>36.909999999999997</v>
      </c>
      <c r="D30" s="209">
        <f t="shared" si="1"/>
        <v>19.759999999999998</v>
      </c>
      <c r="E30" s="214">
        <v>3.45</v>
      </c>
      <c r="F30" s="214">
        <v>16.309999999999999</v>
      </c>
      <c r="G30" s="214">
        <f t="shared" si="2"/>
        <v>17.149999999999999</v>
      </c>
      <c r="H30" s="214">
        <v>9.36</v>
      </c>
      <c r="I30" s="227">
        <v>7.79</v>
      </c>
      <c r="J30" s="120"/>
      <c r="K30" s="120"/>
    </row>
    <row r="31" spans="1:11" s="121" customFormat="1" ht="14.25" customHeight="1">
      <c r="A31" s="472"/>
      <c r="B31" s="450" t="s">
        <v>232</v>
      </c>
      <c r="C31" s="214">
        <f>D31+G31</f>
        <v>58.290000000000006</v>
      </c>
      <c r="D31" s="209">
        <f>E31+F31</f>
        <v>19.410000000000004</v>
      </c>
      <c r="E31" s="214">
        <v>2.99</v>
      </c>
      <c r="F31" s="214">
        <v>16.420000000000002</v>
      </c>
      <c r="G31" s="214">
        <f>H31+I31</f>
        <v>38.880000000000003</v>
      </c>
      <c r="H31" s="214">
        <v>31.57</v>
      </c>
      <c r="I31" s="214">
        <v>7.31</v>
      </c>
      <c r="J31" s="120"/>
      <c r="K31" s="120"/>
    </row>
    <row r="32" spans="1:11" s="121" customFormat="1" ht="14.25" customHeight="1">
      <c r="A32" s="472"/>
      <c r="B32" s="450" t="s">
        <v>233</v>
      </c>
      <c r="C32" s="214">
        <v>27.869999999999997</v>
      </c>
      <c r="D32" s="209">
        <f>E32+F32</f>
        <v>18.84</v>
      </c>
      <c r="E32" s="214">
        <v>3.26</v>
      </c>
      <c r="F32" s="214">
        <v>15.58</v>
      </c>
      <c r="G32" s="214">
        <v>9.0299999999999994</v>
      </c>
      <c r="H32" s="214">
        <v>12.75</v>
      </c>
      <c r="I32" s="214" t="s">
        <v>282</v>
      </c>
      <c r="J32" s="120"/>
      <c r="K32" s="120"/>
    </row>
    <row r="33" spans="1:11" s="121" customFormat="1" ht="14.25" customHeight="1">
      <c r="A33" s="473"/>
      <c r="B33" s="452" t="s">
        <v>234</v>
      </c>
      <c r="C33" s="216">
        <f t="shared" si="0"/>
        <v>21.800000000000004</v>
      </c>
      <c r="D33" s="211">
        <f t="shared" si="1"/>
        <v>18.810000000000002</v>
      </c>
      <c r="E33" s="216">
        <v>4.75</v>
      </c>
      <c r="F33" s="216">
        <v>14.06</v>
      </c>
      <c r="G33" s="216">
        <f t="shared" si="2"/>
        <v>2.99</v>
      </c>
      <c r="H33" s="216">
        <v>1.0900000000000001</v>
      </c>
      <c r="I33" s="216">
        <v>1.9</v>
      </c>
      <c r="J33" s="120"/>
      <c r="K33" s="120"/>
    </row>
    <row r="34" spans="1:11" s="121" customFormat="1" ht="14.25" customHeight="1">
      <c r="A34" s="471">
        <v>2018</v>
      </c>
      <c r="B34" s="454" t="s">
        <v>231</v>
      </c>
      <c r="C34" s="227">
        <f t="shared" ref="C34:C44" si="3">D34+G34</f>
        <v>31.22</v>
      </c>
      <c r="D34" s="227">
        <f t="shared" ref="D34:D42" si="4">E34+F34</f>
        <v>15.27</v>
      </c>
      <c r="E34" s="227">
        <v>2.2799999999999998</v>
      </c>
      <c r="F34" s="227">
        <v>12.99</v>
      </c>
      <c r="G34" s="227">
        <f t="shared" ref="G34:G63" si="5">H34+I34</f>
        <v>15.95</v>
      </c>
      <c r="H34" s="227">
        <v>13.52</v>
      </c>
      <c r="I34" s="230">
        <v>2.4300000000000002</v>
      </c>
      <c r="J34" s="120"/>
      <c r="K34" s="120"/>
    </row>
    <row r="35" spans="1:11" s="121" customFormat="1" ht="14.25" customHeight="1">
      <c r="A35" s="472"/>
      <c r="B35" s="455" t="s">
        <v>232</v>
      </c>
      <c r="C35" s="214">
        <f t="shared" si="3"/>
        <v>35.53</v>
      </c>
      <c r="D35" s="214">
        <f t="shared" si="4"/>
        <v>17.169999999999998</v>
      </c>
      <c r="E35" s="214">
        <v>2.8</v>
      </c>
      <c r="F35" s="214">
        <v>14.37</v>
      </c>
      <c r="G35" s="214">
        <f t="shared" si="5"/>
        <v>18.36</v>
      </c>
      <c r="H35" s="214">
        <v>16.46</v>
      </c>
      <c r="I35" s="220">
        <v>1.9</v>
      </c>
      <c r="J35" s="120"/>
      <c r="K35" s="120"/>
    </row>
    <row r="36" spans="1:11" s="121" customFormat="1" ht="14.25" customHeight="1">
      <c r="A36" s="472"/>
      <c r="B36" s="455" t="s">
        <v>233</v>
      </c>
      <c r="C36" s="214">
        <f t="shared" si="3"/>
        <v>24.57</v>
      </c>
      <c r="D36" s="214">
        <f t="shared" si="4"/>
        <v>16.95</v>
      </c>
      <c r="E36" s="214">
        <v>3.37</v>
      </c>
      <c r="F36" s="214">
        <v>13.58</v>
      </c>
      <c r="G36" s="214">
        <f t="shared" si="5"/>
        <v>7.6199999999999992</v>
      </c>
      <c r="H36" s="214">
        <v>5.64</v>
      </c>
      <c r="I36" s="214">
        <v>1.98</v>
      </c>
      <c r="J36" s="120"/>
      <c r="K36" s="120"/>
    </row>
    <row r="37" spans="1:11" s="121" customFormat="1" ht="14.25" customHeight="1">
      <c r="A37" s="473"/>
      <c r="B37" s="456" t="s">
        <v>234</v>
      </c>
      <c r="C37" s="216">
        <f t="shared" si="3"/>
        <v>35.25</v>
      </c>
      <c r="D37" s="216">
        <f t="shared" si="4"/>
        <v>16.580000000000002</v>
      </c>
      <c r="E37" s="216">
        <v>3.28</v>
      </c>
      <c r="F37" s="216">
        <v>13.3</v>
      </c>
      <c r="G37" s="216">
        <f t="shared" si="5"/>
        <v>18.670000000000002</v>
      </c>
      <c r="H37" s="216">
        <v>16.23</v>
      </c>
      <c r="I37" s="222">
        <v>2.44</v>
      </c>
      <c r="J37" s="120"/>
      <c r="K37" s="120"/>
    </row>
    <row r="38" spans="1:11" s="121" customFormat="1" ht="14.25" customHeight="1">
      <c r="A38" s="471">
        <v>2019</v>
      </c>
      <c r="B38" s="453" t="s">
        <v>231</v>
      </c>
      <c r="C38" s="227">
        <f t="shared" si="3"/>
        <v>27.97</v>
      </c>
      <c r="D38" s="227">
        <f t="shared" si="4"/>
        <v>15.149999999999999</v>
      </c>
      <c r="E38" s="227">
        <v>2.79</v>
      </c>
      <c r="F38" s="227">
        <v>12.36</v>
      </c>
      <c r="G38" s="227">
        <f t="shared" si="5"/>
        <v>12.82</v>
      </c>
      <c r="H38" s="227">
        <v>10.34</v>
      </c>
      <c r="I38" s="227">
        <v>2.48</v>
      </c>
      <c r="J38" s="120"/>
      <c r="K38" s="120"/>
    </row>
    <row r="39" spans="1:11" s="121" customFormat="1" ht="14.25" customHeight="1">
      <c r="A39" s="472"/>
      <c r="B39" s="455" t="s">
        <v>232</v>
      </c>
      <c r="C39" s="214">
        <f t="shared" si="3"/>
        <v>36.819999999999993</v>
      </c>
      <c r="D39" s="214">
        <f t="shared" si="4"/>
        <v>20.83</v>
      </c>
      <c r="E39" s="214">
        <v>7.01</v>
      </c>
      <c r="F39" s="214">
        <v>13.82</v>
      </c>
      <c r="G39" s="214">
        <f t="shared" si="5"/>
        <v>15.989999999999998</v>
      </c>
      <c r="H39" s="214">
        <v>14.11</v>
      </c>
      <c r="I39" s="214">
        <v>1.88</v>
      </c>
      <c r="J39" s="120"/>
      <c r="K39" s="120"/>
    </row>
    <row r="40" spans="1:11" s="121" customFormat="1" ht="14.25" customHeight="1">
      <c r="A40" s="472"/>
      <c r="B40" s="450" t="s">
        <v>233</v>
      </c>
      <c r="C40" s="214">
        <f t="shared" si="3"/>
        <v>37.86</v>
      </c>
      <c r="D40" s="214">
        <f t="shared" si="4"/>
        <v>21.19</v>
      </c>
      <c r="E40" s="214">
        <v>3.96</v>
      </c>
      <c r="F40" s="214">
        <v>17.23</v>
      </c>
      <c r="G40" s="214">
        <f t="shared" si="5"/>
        <v>16.670000000000002</v>
      </c>
      <c r="H40" s="214">
        <v>14.07</v>
      </c>
      <c r="I40" s="214">
        <v>2.6</v>
      </c>
      <c r="J40" s="120"/>
      <c r="K40" s="120"/>
    </row>
    <row r="41" spans="1:11" s="121" customFormat="1" ht="14.25" customHeight="1">
      <c r="A41" s="473"/>
      <c r="B41" s="456" t="s">
        <v>234</v>
      </c>
      <c r="C41" s="216">
        <f t="shared" si="3"/>
        <v>43.769999999999996</v>
      </c>
      <c r="D41" s="216">
        <f t="shared" si="4"/>
        <v>25.5</v>
      </c>
      <c r="E41" s="216">
        <v>9.19</v>
      </c>
      <c r="F41" s="216">
        <v>16.309999999999999</v>
      </c>
      <c r="G41" s="216">
        <f t="shared" si="5"/>
        <v>18.27</v>
      </c>
      <c r="H41" s="216">
        <v>15.94</v>
      </c>
      <c r="I41" s="216">
        <v>2.33</v>
      </c>
      <c r="J41" s="120"/>
      <c r="K41" s="120"/>
    </row>
    <row r="42" spans="1:11" s="121" customFormat="1" ht="14.25" customHeight="1">
      <c r="A42" s="471">
        <v>2020</v>
      </c>
      <c r="B42" s="454" t="s">
        <v>231</v>
      </c>
      <c r="C42" s="227">
        <f t="shared" si="3"/>
        <v>59.309999999999995</v>
      </c>
      <c r="D42" s="227">
        <f t="shared" si="4"/>
        <v>17.72</v>
      </c>
      <c r="E42" s="227">
        <v>4.74</v>
      </c>
      <c r="F42" s="227">
        <v>12.98</v>
      </c>
      <c r="G42" s="227">
        <f t="shared" si="5"/>
        <v>41.589999999999996</v>
      </c>
      <c r="H42" s="227">
        <v>38.979999999999997</v>
      </c>
      <c r="I42" s="227">
        <v>2.61</v>
      </c>
      <c r="J42" s="120"/>
      <c r="K42" s="120"/>
    </row>
    <row r="43" spans="1:11" s="121" customFormat="1" ht="14.25" customHeight="1">
      <c r="A43" s="472"/>
      <c r="B43" s="455" t="s">
        <v>232</v>
      </c>
      <c r="C43" s="214">
        <f t="shared" si="3"/>
        <v>17.189999999999998</v>
      </c>
      <c r="D43" s="214">
        <f t="shared" ref="D43:D55" si="6">E43+F43</f>
        <v>18.399999999999999</v>
      </c>
      <c r="E43" s="214">
        <v>3.62</v>
      </c>
      <c r="F43" s="214">
        <v>14.78</v>
      </c>
      <c r="G43" s="214">
        <v>-1.21</v>
      </c>
      <c r="H43" s="214">
        <v>-3.52</v>
      </c>
      <c r="I43" s="214">
        <v>2.31</v>
      </c>
      <c r="J43" s="120"/>
      <c r="K43" s="120"/>
    </row>
    <row r="44" spans="1:11" s="121" customFormat="1" ht="14.25" customHeight="1">
      <c r="A44" s="472"/>
      <c r="B44" s="455" t="s">
        <v>233</v>
      </c>
      <c r="C44" s="214">
        <f t="shared" si="3"/>
        <v>40.75</v>
      </c>
      <c r="D44" s="214">
        <f t="shared" si="6"/>
        <v>25.41</v>
      </c>
      <c r="E44" s="214">
        <v>5.36</v>
      </c>
      <c r="F44" s="214">
        <v>20.05</v>
      </c>
      <c r="G44" s="214">
        <f t="shared" si="5"/>
        <v>15.34</v>
      </c>
      <c r="H44" s="214">
        <v>13.29</v>
      </c>
      <c r="I44" s="214">
        <v>2.0499999999999998</v>
      </c>
      <c r="J44" s="120"/>
      <c r="K44" s="120"/>
    </row>
    <row r="45" spans="1:11" s="121" customFormat="1" ht="14.25" customHeight="1">
      <c r="A45" s="473"/>
      <c r="B45" s="456" t="s">
        <v>234</v>
      </c>
      <c r="C45" s="216">
        <f t="shared" ref="C45:C55" si="7">D45+G45</f>
        <v>44.59</v>
      </c>
      <c r="D45" s="216">
        <f t="shared" si="6"/>
        <v>19.670000000000002</v>
      </c>
      <c r="E45" s="216">
        <v>4.95</v>
      </c>
      <c r="F45" s="216">
        <v>14.72</v>
      </c>
      <c r="G45" s="216">
        <f t="shared" si="5"/>
        <v>24.919999999999998</v>
      </c>
      <c r="H45" s="216">
        <v>22.47</v>
      </c>
      <c r="I45" s="216">
        <v>2.4500000000000002</v>
      </c>
      <c r="J45" s="120"/>
      <c r="K45" s="120"/>
    </row>
    <row r="46" spans="1:11" s="121" customFormat="1" ht="14.25" customHeight="1">
      <c r="A46" s="471">
        <v>2021</v>
      </c>
      <c r="B46" s="454" t="s">
        <v>231</v>
      </c>
      <c r="C46" s="227">
        <f t="shared" si="7"/>
        <v>27.71</v>
      </c>
      <c r="D46" s="227">
        <f t="shared" si="6"/>
        <v>16.16</v>
      </c>
      <c r="E46" s="397">
        <v>3.97</v>
      </c>
      <c r="F46" s="397">
        <v>12.19</v>
      </c>
      <c r="G46" s="227">
        <f t="shared" si="5"/>
        <v>11.55</v>
      </c>
      <c r="H46" s="227">
        <v>9.09</v>
      </c>
      <c r="I46" s="227">
        <v>2.46</v>
      </c>
      <c r="J46" s="120"/>
      <c r="K46" s="120"/>
    </row>
    <row r="47" spans="1:11" s="121" customFormat="1" ht="14.25" customHeight="1">
      <c r="A47" s="472"/>
      <c r="B47" s="455" t="s">
        <v>232</v>
      </c>
      <c r="C47" s="214">
        <f t="shared" si="7"/>
        <v>42.24</v>
      </c>
      <c r="D47" s="214">
        <f t="shared" si="6"/>
        <v>16.060000000000002</v>
      </c>
      <c r="E47" s="401">
        <v>3.24</v>
      </c>
      <c r="F47" s="401">
        <v>12.82</v>
      </c>
      <c r="G47" s="214">
        <f t="shared" si="5"/>
        <v>26.18</v>
      </c>
      <c r="H47" s="214">
        <v>22.76</v>
      </c>
      <c r="I47" s="214">
        <v>3.42</v>
      </c>
      <c r="J47" s="120"/>
      <c r="K47" s="120"/>
    </row>
    <row r="48" spans="1:11" s="121" customFormat="1" ht="14.25" customHeight="1">
      <c r="A48" s="449"/>
      <c r="B48" s="455" t="s">
        <v>233</v>
      </c>
      <c r="C48" s="214">
        <f t="shared" si="7"/>
        <v>21.72</v>
      </c>
      <c r="D48" s="214">
        <f t="shared" si="6"/>
        <v>16.13</v>
      </c>
      <c r="E48" s="401">
        <v>4.6900000000000004</v>
      </c>
      <c r="F48" s="401">
        <v>11.44</v>
      </c>
      <c r="G48" s="214">
        <f t="shared" si="5"/>
        <v>5.59</v>
      </c>
      <c r="H48" s="214">
        <v>4.29</v>
      </c>
      <c r="I48" s="214">
        <v>1.3</v>
      </c>
      <c r="J48" s="120"/>
      <c r="K48" s="120"/>
    </row>
    <row r="49" spans="1:12" s="121" customFormat="1" ht="14.25" customHeight="1">
      <c r="A49" s="451"/>
      <c r="B49" s="456" t="s">
        <v>234</v>
      </c>
      <c r="C49" s="216">
        <f t="shared" si="7"/>
        <v>14.670000000000002</v>
      </c>
      <c r="D49" s="216">
        <f t="shared" si="6"/>
        <v>17.05</v>
      </c>
      <c r="E49" s="398">
        <v>3.45</v>
      </c>
      <c r="F49" s="398">
        <v>13.6</v>
      </c>
      <c r="G49" s="216">
        <f t="shared" si="5"/>
        <v>-2.38</v>
      </c>
      <c r="H49" s="216">
        <v>-4.5</v>
      </c>
      <c r="I49" s="216">
        <v>2.12</v>
      </c>
      <c r="J49" s="120"/>
      <c r="K49" s="120"/>
    </row>
    <row r="50" spans="1:12" s="121" customFormat="1" ht="14.25" customHeight="1">
      <c r="A50" s="471">
        <v>2022</v>
      </c>
      <c r="B50" s="454" t="s">
        <v>231</v>
      </c>
      <c r="C50" s="227">
        <f t="shared" si="7"/>
        <v>81.180000000000007</v>
      </c>
      <c r="D50" s="227">
        <f t="shared" si="6"/>
        <v>44.81</v>
      </c>
      <c r="E50" s="397">
        <v>18.18</v>
      </c>
      <c r="F50" s="397">
        <v>26.63</v>
      </c>
      <c r="G50" s="227">
        <f t="shared" si="5"/>
        <v>36.370000000000005</v>
      </c>
      <c r="H50" s="227">
        <v>30.37</v>
      </c>
      <c r="I50" s="227">
        <v>6</v>
      </c>
      <c r="J50" s="120"/>
      <c r="K50" s="120"/>
    </row>
    <row r="51" spans="1:12" s="121" customFormat="1" ht="14.25" customHeight="1">
      <c r="A51" s="472"/>
      <c r="B51" s="455" t="s">
        <v>232</v>
      </c>
      <c r="C51" s="214">
        <f t="shared" si="7"/>
        <v>29.88</v>
      </c>
      <c r="D51" s="214">
        <f t="shared" si="6"/>
        <v>14.48</v>
      </c>
      <c r="E51" s="401">
        <v>2.98</v>
      </c>
      <c r="F51" s="401">
        <v>11.5</v>
      </c>
      <c r="G51" s="214">
        <f t="shared" si="5"/>
        <v>15.399999999999999</v>
      </c>
      <c r="H51" s="214">
        <v>13.35</v>
      </c>
      <c r="I51" s="214">
        <v>2.0499999999999998</v>
      </c>
      <c r="J51" s="120"/>
      <c r="K51" s="120"/>
    </row>
    <row r="52" spans="1:12" s="121" customFormat="1" ht="14.25" customHeight="1">
      <c r="A52" s="472"/>
      <c r="B52" s="455" t="s">
        <v>233</v>
      </c>
      <c r="C52" s="214">
        <f t="shared" si="7"/>
        <v>26.15</v>
      </c>
      <c r="D52" s="214">
        <f t="shared" si="6"/>
        <v>14.65</v>
      </c>
      <c r="E52" s="401">
        <v>3.69</v>
      </c>
      <c r="F52" s="401">
        <v>10.96</v>
      </c>
      <c r="G52" s="214">
        <f t="shared" si="5"/>
        <v>11.5</v>
      </c>
      <c r="H52" s="214">
        <v>9.0399999999999991</v>
      </c>
      <c r="I52" s="214">
        <v>2.46</v>
      </c>
      <c r="J52" s="120"/>
      <c r="K52" s="120"/>
    </row>
    <row r="53" spans="1:12" s="121" customFormat="1" ht="14.25" customHeight="1">
      <c r="A53" s="473"/>
      <c r="B53" s="456" t="s">
        <v>234</v>
      </c>
      <c r="C53" s="216">
        <f t="shared" si="7"/>
        <v>14.75</v>
      </c>
      <c r="D53" s="216">
        <f t="shared" si="6"/>
        <v>17.38</v>
      </c>
      <c r="E53" s="398">
        <v>4.72</v>
      </c>
      <c r="F53" s="398">
        <v>12.66</v>
      </c>
      <c r="G53" s="216">
        <f t="shared" si="5"/>
        <v>-2.63</v>
      </c>
      <c r="H53" s="216">
        <v>-3.39</v>
      </c>
      <c r="I53" s="216">
        <v>0.76</v>
      </c>
      <c r="J53" s="120"/>
      <c r="K53" s="120"/>
    </row>
    <row r="54" spans="1:12" s="121" customFormat="1" ht="14.25" customHeight="1">
      <c r="A54" s="471">
        <v>2023</v>
      </c>
      <c r="B54" s="454" t="s">
        <v>231</v>
      </c>
      <c r="C54" s="227">
        <f t="shared" si="7"/>
        <v>34.61</v>
      </c>
      <c r="D54" s="227">
        <f t="shared" si="6"/>
        <v>20.89</v>
      </c>
      <c r="E54" s="397">
        <v>7.98</v>
      </c>
      <c r="F54" s="397">
        <v>12.91</v>
      </c>
      <c r="G54" s="227">
        <f t="shared" si="5"/>
        <v>13.72</v>
      </c>
      <c r="H54" s="227">
        <v>10.9</v>
      </c>
      <c r="I54" s="227">
        <v>2.82</v>
      </c>
      <c r="J54" s="120"/>
      <c r="K54" s="120"/>
      <c r="L54" s="120"/>
    </row>
    <row r="55" spans="1:12" s="121" customFormat="1" ht="14.25" customHeight="1">
      <c r="A55" s="472"/>
      <c r="B55" s="455" t="s">
        <v>232</v>
      </c>
      <c r="C55" s="214">
        <f t="shared" si="7"/>
        <v>34.387999999999998</v>
      </c>
      <c r="D55" s="214">
        <f t="shared" si="6"/>
        <v>19.571999999999999</v>
      </c>
      <c r="E55" s="401">
        <v>5.851</v>
      </c>
      <c r="F55" s="401">
        <v>13.721</v>
      </c>
      <c r="G55" s="214">
        <f t="shared" si="5"/>
        <v>14.816000000000001</v>
      </c>
      <c r="H55" s="214">
        <v>13.146000000000001</v>
      </c>
      <c r="I55" s="214">
        <v>1.67</v>
      </c>
      <c r="J55" s="120"/>
      <c r="K55" s="120"/>
      <c r="L55" s="120"/>
    </row>
    <row r="56" spans="1:12" s="121" customFormat="1" ht="14.25" customHeight="1">
      <c r="A56" s="472"/>
      <c r="B56" s="455" t="s">
        <v>233</v>
      </c>
      <c r="C56" s="214">
        <f t="shared" ref="C56" si="8">D56+G56</f>
        <v>47.47</v>
      </c>
      <c r="D56" s="214">
        <f t="shared" ref="D56" si="9">E56+F56</f>
        <v>33.71</v>
      </c>
      <c r="E56" s="401">
        <v>21.96</v>
      </c>
      <c r="F56" s="401">
        <v>11.75</v>
      </c>
      <c r="G56" s="214">
        <f t="shared" si="5"/>
        <v>13.76</v>
      </c>
      <c r="H56" s="214">
        <v>12.27</v>
      </c>
      <c r="I56" s="214">
        <v>1.49</v>
      </c>
      <c r="J56" s="120"/>
      <c r="K56" s="120"/>
      <c r="L56" s="120"/>
    </row>
    <row r="57" spans="1:12" s="121" customFormat="1" ht="14.25" customHeight="1">
      <c r="A57" s="473"/>
      <c r="B57" s="456" t="s">
        <v>234</v>
      </c>
      <c r="C57" s="216">
        <f t="shared" ref="C57" si="10">D57+G57</f>
        <v>25.950000000000003</v>
      </c>
      <c r="D57" s="216">
        <f t="shared" ref="D57" si="11">E57+F57</f>
        <v>17.100000000000001</v>
      </c>
      <c r="E57" s="398">
        <v>2.62</v>
      </c>
      <c r="F57" s="398">
        <v>14.48</v>
      </c>
      <c r="G57" s="216">
        <f t="shared" si="5"/>
        <v>8.85</v>
      </c>
      <c r="H57" s="216">
        <v>5.3</v>
      </c>
      <c r="I57" s="216">
        <v>3.55</v>
      </c>
      <c r="J57" s="120"/>
      <c r="K57" s="120"/>
      <c r="L57" s="120"/>
    </row>
    <row r="58" spans="1:12" s="121" customFormat="1" ht="14.25" customHeight="1">
      <c r="A58" s="471">
        <v>2024</v>
      </c>
      <c r="B58" s="454" t="s">
        <v>231</v>
      </c>
      <c r="C58" s="227">
        <f t="shared" ref="C58:C59" si="12">D58+G58</f>
        <v>36.180000000000007</v>
      </c>
      <c r="D58" s="227">
        <f t="shared" ref="D58:D59" si="13">E58+F58</f>
        <v>19.240000000000002</v>
      </c>
      <c r="E58" s="397">
        <v>7.36</v>
      </c>
      <c r="F58" s="397">
        <v>11.88</v>
      </c>
      <c r="G58" s="227">
        <f t="shared" si="5"/>
        <v>16.940000000000001</v>
      </c>
      <c r="H58" s="227">
        <v>15.73</v>
      </c>
      <c r="I58" s="227">
        <v>1.21</v>
      </c>
      <c r="J58" s="120"/>
      <c r="K58" s="120"/>
      <c r="L58" s="120"/>
    </row>
    <row r="59" spans="1:12" s="121" customFormat="1" ht="14.25" customHeight="1">
      <c r="A59" s="472"/>
      <c r="B59" s="455" t="s">
        <v>232</v>
      </c>
      <c r="C59" s="214">
        <f t="shared" si="12"/>
        <v>39.369999999999997</v>
      </c>
      <c r="D59" s="214">
        <f t="shared" si="13"/>
        <v>18.93</v>
      </c>
      <c r="E59" s="401">
        <v>4.16</v>
      </c>
      <c r="F59" s="401">
        <v>14.77</v>
      </c>
      <c r="G59" s="214">
        <f t="shared" si="5"/>
        <v>20.439999999999998</v>
      </c>
      <c r="H59" s="214">
        <v>15.67</v>
      </c>
      <c r="I59" s="214">
        <v>4.7699999999999996</v>
      </c>
      <c r="J59" s="120"/>
      <c r="K59" s="120"/>
      <c r="L59" s="120"/>
    </row>
    <row r="60" spans="1:12" s="121" customFormat="1" ht="14.25" customHeight="1">
      <c r="A60" s="472"/>
      <c r="B60" s="455" t="s">
        <v>233</v>
      </c>
      <c r="C60" s="214">
        <f t="shared" ref="C60" si="14">D60+G60</f>
        <v>27.380000000000003</v>
      </c>
      <c r="D60" s="214">
        <f t="shared" ref="D60" si="15">E60+F60</f>
        <v>17.18</v>
      </c>
      <c r="E60" s="401">
        <v>3.7800000000000002</v>
      </c>
      <c r="F60" s="401">
        <v>13.4</v>
      </c>
      <c r="G60" s="214">
        <f t="shared" si="5"/>
        <v>10.200000000000001</v>
      </c>
      <c r="H60" s="214">
        <v>13.05</v>
      </c>
      <c r="I60" s="214">
        <v>-2.85</v>
      </c>
      <c r="J60" s="120"/>
      <c r="K60" s="120"/>
      <c r="L60" s="120"/>
    </row>
    <row r="61" spans="1:12" s="121" customFormat="1" ht="14.25" customHeight="1">
      <c r="A61" s="473"/>
      <c r="B61" s="456" t="s">
        <v>234</v>
      </c>
      <c r="C61" s="216">
        <f t="shared" ref="C61" si="16">D61+G61</f>
        <v>27.520000000000007</v>
      </c>
      <c r="D61" s="216">
        <f t="shared" ref="D61" si="17">E61+F61</f>
        <v>7.5100000000000025</v>
      </c>
      <c r="E61" s="398">
        <v>-7.2399999999999993</v>
      </c>
      <c r="F61" s="398">
        <v>14.750000000000002</v>
      </c>
      <c r="G61" s="216">
        <f t="shared" si="5"/>
        <v>20.010000000000005</v>
      </c>
      <c r="H61" s="216">
        <v>12.750000000000007</v>
      </c>
      <c r="I61" s="216">
        <v>7.2599999999999989</v>
      </c>
      <c r="J61" s="120"/>
      <c r="K61" s="120"/>
      <c r="L61" s="120"/>
    </row>
    <row r="62" spans="1:12" s="121" customFormat="1" ht="14.25" customHeight="1">
      <c r="A62" s="471">
        <v>2025</v>
      </c>
      <c r="B62" s="454" t="s">
        <v>231</v>
      </c>
      <c r="C62" s="227">
        <f t="shared" ref="C62" si="18">D62+G62</f>
        <v>42.177</v>
      </c>
      <c r="D62" s="227">
        <f t="shared" ref="D62" si="19">E62+F62</f>
        <v>22.719000000000001</v>
      </c>
      <c r="E62" s="397">
        <v>3.1949999999999998</v>
      </c>
      <c r="F62" s="397">
        <v>19.524000000000001</v>
      </c>
      <c r="G62" s="227">
        <f t="shared" si="5"/>
        <v>19.457999999999998</v>
      </c>
      <c r="H62" s="227">
        <v>16.402999999999999</v>
      </c>
      <c r="I62" s="227">
        <v>3.0550000000000002</v>
      </c>
      <c r="J62" s="120"/>
      <c r="K62" s="120"/>
      <c r="L62" s="120"/>
    </row>
    <row r="63" spans="1:12" s="121" customFormat="1" ht="14.25" customHeight="1">
      <c r="A63" s="473"/>
      <c r="B63" s="456" t="s">
        <v>232</v>
      </c>
      <c r="C63" s="216">
        <f t="shared" ref="C63" si="20">D63+G63</f>
        <v>29.855000000000004</v>
      </c>
      <c r="D63" s="216">
        <f t="shared" ref="D63" si="21">E63+F63</f>
        <v>13.06</v>
      </c>
      <c r="E63" s="398">
        <v>5.1029999999999998</v>
      </c>
      <c r="F63" s="398">
        <v>7.9570000000000007</v>
      </c>
      <c r="G63" s="216">
        <f t="shared" si="5"/>
        <v>16.795000000000002</v>
      </c>
      <c r="H63" s="216">
        <v>14.391000000000002</v>
      </c>
      <c r="I63" s="216">
        <v>2.4039999999999995</v>
      </c>
      <c r="J63" s="120"/>
      <c r="K63" s="120"/>
      <c r="L63" s="120"/>
    </row>
    <row r="64" spans="1:12" s="121" customFormat="1">
      <c r="C64" s="120"/>
      <c r="D64" s="120"/>
      <c r="E64" s="120"/>
      <c r="F64" s="120"/>
      <c r="G64" s="120"/>
      <c r="H64" s="120"/>
      <c r="I64" s="120"/>
    </row>
    <row r="65" spans="1:8">
      <c r="A65" s="491" t="s">
        <v>195</v>
      </c>
      <c r="B65" s="475"/>
      <c r="C65" s="475"/>
      <c r="H65" s="81"/>
    </row>
    <row r="66" spans="1:8">
      <c r="A66" s="475"/>
      <c r="B66" s="475"/>
      <c r="C66" s="475"/>
    </row>
    <row r="67" spans="1:8">
      <c r="A67" s="475" t="s">
        <v>119</v>
      </c>
      <c r="B67" s="475"/>
      <c r="C67" s="475"/>
      <c r="E67" s="87"/>
    </row>
    <row r="68" spans="1:8">
      <c r="A68" s="475" t="s">
        <v>283</v>
      </c>
      <c r="B68" s="475"/>
      <c r="C68" s="475"/>
      <c r="E68" s="87"/>
    </row>
    <row r="69" spans="1:8">
      <c r="A69" s="475" t="s">
        <v>284</v>
      </c>
      <c r="B69" s="475"/>
      <c r="C69" s="475"/>
      <c r="E69" s="87"/>
    </row>
    <row r="70" spans="1:8">
      <c r="A70" s="475" t="s">
        <v>285</v>
      </c>
    </row>
  </sheetData>
  <sheetProtection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showGridLines="0" zoomScaleNormal="100" workbookViewId="0">
      <selection sqref="A1:B1"/>
    </sheetView>
  </sheetViews>
  <sheetFormatPr defaultColWidth="8.81640625" defaultRowHeight="13"/>
  <cols>
    <col min="1" max="1" width="32.453125" style="436" customWidth="1"/>
    <col min="2" max="2" width="137.81640625" style="430" customWidth="1"/>
    <col min="3" max="3" width="136.1796875" style="91" customWidth="1"/>
    <col min="4" max="16384" width="8.81640625" style="91"/>
  </cols>
  <sheetData>
    <row r="1" spans="1:2" ht="16.5">
      <c r="A1" s="714" t="s">
        <v>1</v>
      </c>
      <c r="B1" s="715"/>
    </row>
    <row r="2" spans="1:2" ht="22.5">
      <c r="A2" s="441" t="s">
        <v>36</v>
      </c>
      <c r="B2" s="431"/>
    </row>
    <row r="3" spans="1:2" ht="15" customHeight="1">
      <c r="A3" s="437" t="s">
        <v>37</v>
      </c>
      <c r="B3" s="438" t="s">
        <v>38</v>
      </c>
    </row>
    <row r="4" spans="1:2" ht="22.5">
      <c r="A4" s="442" t="s">
        <v>39</v>
      </c>
      <c r="B4" s="433"/>
    </row>
    <row r="5" spans="1:2" ht="14.25" customHeight="1">
      <c r="A5" s="439" t="s">
        <v>40</v>
      </c>
      <c r="B5" s="440" t="s">
        <v>41</v>
      </c>
    </row>
    <row r="6" spans="1:2" ht="34.5">
      <c r="A6" s="439" t="s">
        <v>42</v>
      </c>
      <c r="B6" s="440" t="s">
        <v>43</v>
      </c>
    </row>
    <row r="7" spans="1:2" ht="22.5">
      <c r="A7" s="441" t="s">
        <v>44</v>
      </c>
      <c r="B7" s="432"/>
    </row>
    <row r="8" spans="1:2" ht="23">
      <c r="A8" s="439" t="s">
        <v>45</v>
      </c>
      <c r="B8" s="440" t="s">
        <v>46</v>
      </c>
    </row>
    <row r="9" spans="1:2">
      <c r="A9" s="437" t="s">
        <v>47</v>
      </c>
      <c r="B9" s="438" t="s">
        <v>48</v>
      </c>
    </row>
    <row r="10" spans="1:2" ht="22.5">
      <c r="A10" s="442" t="s">
        <v>49</v>
      </c>
      <c r="B10" s="433"/>
    </row>
    <row r="11" spans="1:2">
      <c r="A11" s="437" t="s">
        <v>50</v>
      </c>
      <c r="B11" s="438" t="s">
        <v>51</v>
      </c>
    </row>
    <row r="12" spans="1:2" ht="22.5">
      <c r="A12" s="441" t="s">
        <v>52</v>
      </c>
      <c r="B12" s="432"/>
    </row>
    <row r="13" spans="1:2" ht="23">
      <c r="A13" s="439" t="s">
        <v>53</v>
      </c>
      <c r="B13" s="440" t="s">
        <v>54</v>
      </c>
    </row>
    <row r="14" spans="1:2" ht="23">
      <c r="A14" s="437" t="s">
        <v>55</v>
      </c>
      <c r="B14" s="438" t="s">
        <v>56</v>
      </c>
    </row>
    <row r="15" spans="1:2" ht="22.5">
      <c r="A15" s="443" t="s">
        <v>57</v>
      </c>
      <c r="B15" s="432"/>
    </row>
    <row r="16" spans="1:2">
      <c r="A16" s="437" t="s">
        <v>58</v>
      </c>
      <c r="B16" s="438" t="s">
        <v>59</v>
      </c>
    </row>
    <row r="17" spans="1:2" ht="22.5">
      <c r="A17" s="441" t="s">
        <v>60</v>
      </c>
      <c r="B17" s="432"/>
    </row>
    <row r="18" spans="1:2">
      <c r="A18" s="439" t="s">
        <v>61</v>
      </c>
      <c r="B18" s="440" t="s">
        <v>62</v>
      </c>
    </row>
    <row r="19" spans="1:2" ht="12.65" customHeight="1">
      <c r="A19" s="439" t="s">
        <v>63</v>
      </c>
      <c r="B19" s="440" t="s">
        <v>64</v>
      </c>
    </row>
    <row r="20" spans="1:2">
      <c r="A20" s="439" t="s">
        <v>65</v>
      </c>
      <c r="B20" s="440" t="s">
        <v>66</v>
      </c>
    </row>
    <row r="21" spans="1:2" ht="14.15" customHeight="1">
      <c r="A21" s="437" t="s">
        <v>67</v>
      </c>
      <c r="B21" s="438" t="s">
        <v>68</v>
      </c>
    </row>
    <row r="22" spans="1:2" ht="22.5">
      <c r="A22" s="441" t="s">
        <v>69</v>
      </c>
      <c r="B22" s="432"/>
    </row>
    <row r="23" spans="1:2">
      <c r="A23" s="439" t="s">
        <v>70</v>
      </c>
      <c r="B23" s="440" t="s">
        <v>71</v>
      </c>
    </row>
    <row r="24" spans="1:2" ht="13.5" customHeight="1">
      <c r="A24" s="439" t="s">
        <v>72</v>
      </c>
      <c r="B24" s="440" t="s">
        <v>73</v>
      </c>
    </row>
    <row r="25" spans="1:2" ht="16" customHeight="1">
      <c r="A25" s="437" t="s">
        <v>74</v>
      </c>
      <c r="B25" s="438" t="s">
        <v>75</v>
      </c>
    </row>
    <row r="26" spans="1:2" ht="22.5">
      <c r="A26" s="441" t="s">
        <v>76</v>
      </c>
      <c r="B26" s="432"/>
    </row>
    <row r="27" spans="1:2">
      <c r="A27" s="437" t="s">
        <v>77</v>
      </c>
      <c r="B27" s="438" t="s">
        <v>78</v>
      </c>
    </row>
    <row r="28" spans="1:2" ht="22.5">
      <c r="A28" s="441" t="s">
        <v>79</v>
      </c>
      <c r="B28" s="432"/>
    </row>
    <row r="29" spans="1:2">
      <c r="A29" s="439" t="s">
        <v>80</v>
      </c>
      <c r="B29" s="440" t="s">
        <v>81</v>
      </c>
    </row>
    <row r="30" spans="1:2">
      <c r="A30" s="437" t="s">
        <v>82</v>
      </c>
      <c r="B30" s="438" t="s">
        <v>83</v>
      </c>
    </row>
    <row r="31" spans="1:2" ht="22.5">
      <c r="A31" s="441" t="s">
        <v>84</v>
      </c>
      <c r="B31" s="432"/>
    </row>
    <row r="32" spans="1:2" ht="46">
      <c r="A32" s="437" t="s">
        <v>85</v>
      </c>
      <c r="B32" s="438" t="s">
        <v>86</v>
      </c>
    </row>
    <row r="33" spans="1:3" ht="22.5">
      <c r="A33" s="441" t="s">
        <v>87</v>
      </c>
      <c r="B33" s="432"/>
    </row>
    <row r="34" spans="1:3" ht="28" customHeight="1">
      <c r="A34" s="439" t="s">
        <v>88</v>
      </c>
      <c r="B34" s="440" t="s">
        <v>89</v>
      </c>
    </row>
    <row r="35" spans="1:3" ht="15" customHeight="1">
      <c r="A35" s="439" t="s">
        <v>90</v>
      </c>
      <c r="B35" s="440" t="s">
        <v>91</v>
      </c>
    </row>
    <row r="36" spans="1:3">
      <c r="A36" s="437" t="s">
        <v>92</v>
      </c>
      <c r="B36" s="438" t="s">
        <v>93</v>
      </c>
    </row>
    <row r="37" spans="1:3" ht="15" customHeight="1"/>
    <row r="38" spans="1:3">
      <c r="A38" s="567" t="s">
        <v>94</v>
      </c>
      <c r="B38" s="434"/>
    </row>
    <row r="39" spans="1:3" ht="15" customHeight="1">
      <c r="A39" s="567" t="s">
        <v>95</v>
      </c>
      <c r="B39" s="435"/>
      <c r="C39" s="429"/>
    </row>
    <row r="40" spans="1:3" ht="15" customHeight="1">
      <c r="B40" s="428"/>
      <c r="C40" s="427"/>
    </row>
    <row r="41" spans="1:3">
      <c r="B41" s="91"/>
    </row>
    <row r="42" spans="1:3">
      <c r="B42" s="91"/>
    </row>
    <row r="47" spans="1:3">
      <c r="B47" s="428"/>
      <c r="C47" s="429"/>
    </row>
  </sheetData>
  <mergeCells count="1">
    <mergeCell ref="A1:B1"/>
  </mergeCells>
  <pageMargins left="0.36" right="0.7" top="0.75" bottom="0.75" header="0.3" footer="0.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0"/>
  <sheetViews>
    <sheetView zoomScaleNormal="100" workbookViewId="0">
      <pane ySplit="4" topLeftCell="A33" activePane="bottomLeft" state="frozen"/>
      <selection activeCell="J154" sqref="J154"/>
      <selection pane="bottomLeft"/>
    </sheetView>
  </sheetViews>
  <sheetFormatPr defaultColWidth="9.1796875" defaultRowHeight="13"/>
  <cols>
    <col min="1" max="1" width="7.54296875" style="65" customWidth="1"/>
    <col min="2" max="2" width="8.81640625" style="65" customWidth="1"/>
    <col min="3" max="3" width="13.81640625" style="65" customWidth="1"/>
    <col min="4" max="4" width="15.81640625" style="65" customWidth="1"/>
    <col min="5" max="5" width="16.1796875" style="65" customWidth="1"/>
    <col min="6" max="6" width="14.81640625" style="65" customWidth="1"/>
    <col min="7" max="8" width="13.81640625" style="65" customWidth="1"/>
    <col min="9" max="16384" width="9.1796875" style="65"/>
  </cols>
  <sheetData>
    <row r="1" spans="1:8">
      <c r="A1" s="533" t="s">
        <v>286</v>
      </c>
    </row>
    <row r="2" spans="1:8" s="121" customFormat="1">
      <c r="A2" s="821" t="s">
        <v>287</v>
      </c>
      <c r="B2" s="821"/>
      <c r="C2" s="821"/>
      <c r="D2" s="821"/>
      <c r="E2" s="821"/>
      <c r="F2" s="821"/>
      <c r="G2" s="821"/>
      <c r="H2" s="821"/>
    </row>
    <row r="3" spans="1:8" s="176" customFormat="1" ht="12.75" customHeight="1">
      <c r="A3" s="822" t="s">
        <v>98</v>
      </c>
      <c r="B3" s="823"/>
      <c r="C3" s="826" t="s">
        <v>288</v>
      </c>
      <c r="D3" s="827"/>
      <c r="E3" s="827"/>
      <c r="F3" s="827"/>
      <c r="G3" s="828"/>
      <c r="H3" s="829"/>
    </row>
    <row r="4" spans="1:8" s="176" customFormat="1" ht="14.5">
      <c r="A4" s="824"/>
      <c r="B4" s="825"/>
      <c r="C4" s="534" t="s">
        <v>102</v>
      </c>
      <c r="D4" s="535" t="s">
        <v>289</v>
      </c>
      <c r="E4" s="535" t="s">
        <v>290</v>
      </c>
      <c r="F4" s="535" t="s">
        <v>291</v>
      </c>
      <c r="G4" s="535" t="s">
        <v>292</v>
      </c>
      <c r="H4" s="535" t="s">
        <v>293</v>
      </c>
    </row>
    <row r="5" spans="1:8" s="121" customFormat="1" ht="14.5">
      <c r="A5" s="471">
        <v>2015</v>
      </c>
      <c r="B5" s="453" t="s">
        <v>231</v>
      </c>
      <c r="C5" s="317">
        <f>D5+E5+F5+G5+H5</f>
        <v>131</v>
      </c>
      <c r="D5" s="317">
        <v>44</v>
      </c>
      <c r="E5" s="317">
        <v>24</v>
      </c>
      <c r="F5" s="317">
        <v>25</v>
      </c>
      <c r="G5" s="317">
        <v>38</v>
      </c>
      <c r="H5" s="317">
        <v>0</v>
      </c>
    </row>
    <row r="6" spans="1:8" s="121" customFormat="1" ht="14.5">
      <c r="A6" s="472"/>
      <c r="B6" s="450" t="s">
        <v>232</v>
      </c>
      <c r="C6" s="318">
        <f t="shared" ref="C6:C20" si="0">D6+E6+F6+G6+H6</f>
        <v>153</v>
      </c>
      <c r="D6" s="318">
        <v>55</v>
      </c>
      <c r="E6" s="318">
        <v>33</v>
      </c>
      <c r="F6" s="318">
        <v>23</v>
      </c>
      <c r="G6" s="318">
        <v>38</v>
      </c>
      <c r="H6" s="318">
        <v>4</v>
      </c>
    </row>
    <row r="7" spans="1:8" s="121" customFormat="1" ht="14.5">
      <c r="A7" s="472"/>
      <c r="B7" s="450" t="s">
        <v>233</v>
      </c>
      <c r="C7" s="318">
        <f t="shared" si="0"/>
        <v>72</v>
      </c>
      <c r="D7" s="318">
        <v>31</v>
      </c>
      <c r="E7" s="318">
        <v>10</v>
      </c>
      <c r="F7" s="318">
        <v>18</v>
      </c>
      <c r="G7" s="318">
        <v>9</v>
      </c>
      <c r="H7" s="318">
        <v>4</v>
      </c>
    </row>
    <row r="8" spans="1:8" s="121" customFormat="1" ht="14.5">
      <c r="A8" s="473"/>
      <c r="B8" s="452" t="s">
        <v>234</v>
      </c>
      <c r="C8" s="319">
        <f t="shared" si="0"/>
        <v>42</v>
      </c>
      <c r="D8" s="319">
        <v>17</v>
      </c>
      <c r="E8" s="319">
        <v>6</v>
      </c>
      <c r="F8" s="319">
        <v>10</v>
      </c>
      <c r="G8" s="319">
        <v>6</v>
      </c>
      <c r="H8" s="319">
        <v>3</v>
      </c>
    </row>
    <row r="9" spans="1:8" s="121" customFormat="1" ht="14.5">
      <c r="A9" s="472">
        <v>2016</v>
      </c>
      <c r="B9" s="453" t="s">
        <v>231</v>
      </c>
      <c r="C9" s="318">
        <f t="shared" si="0"/>
        <v>97</v>
      </c>
      <c r="D9" s="317">
        <v>41</v>
      </c>
      <c r="E9" s="317">
        <v>27</v>
      </c>
      <c r="F9" s="317">
        <v>21</v>
      </c>
      <c r="G9" s="318">
        <v>6</v>
      </c>
      <c r="H9" s="317">
        <v>2</v>
      </c>
    </row>
    <row r="10" spans="1:8" s="121" customFormat="1" ht="14.5">
      <c r="A10" s="472"/>
      <c r="B10" s="450" t="s">
        <v>232</v>
      </c>
      <c r="C10" s="318">
        <f t="shared" si="0"/>
        <v>75</v>
      </c>
      <c r="D10" s="318">
        <v>40</v>
      </c>
      <c r="E10" s="318">
        <v>14</v>
      </c>
      <c r="F10" s="318">
        <v>16</v>
      </c>
      <c r="G10" s="318">
        <v>3</v>
      </c>
      <c r="H10" s="318">
        <v>2</v>
      </c>
    </row>
    <row r="11" spans="1:8" s="121" customFormat="1" ht="14.5">
      <c r="A11" s="472"/>
      <c r="B11" s="450" t="s">
        <v>233</v>
      </c>
      <c r="C11" s="318">
        <f t="shared" si="0"/>
        <v>100</v>
      </c>
      <c r="D11" s="318">
        <v>55</v>
      </c>
      <c r="E11" s="318">
        <v>23</v>
      </c>
      <c r="F11" s="318">
        <v>9</v>
      </c>
      <c r="G11" s="318">
        <v>7</v>
      </c>
      <c r="H11" s="318">
        <v>6</v>
      </c>
    </row>
    <row r="12" spans="1:8" s="121" customFormat="1" ht="14.5">
      <c r="A12" s="473"/>
      <c r="B12" s="452" t="s">
        <v>234</v>
      </c>
      <c r="C12" s="319">
        <f t="shared" si="0"/>
        <v>106</v>
      </c>
      <c r="D12" s="319">
        <v>46</v>
      </c>
      <c r="E12" s="319">
        <v>22</v>
      </c>
      <c r="F12" s="319">
        <v>21</v>
      </c>
      <c r="G12" s="319">
        <v>11</v>
      </c>
      <c r="H12" s="319">
        <v>6</v>
      </c>
    </row>
    <row r="13" spans="1:8" s="121" customFormat="1" ht="14.5">
      <c r="A13" s="472">
        <v>2017</v>
      </c>
      <c r="B13" s="453" t="s">
        <v>231</v>
      </c>
      <c r="C13" s="318">
        <f t="shared" si="0"/>
        <v>84</v>
      </c>
      <c r="D13" s="318">
        <v>36</v>
      </c>
      <c r="E13" s="318">
        <v>18</v>
      </c>
      <c r="F13" s="318">
        <v>23</v>
      </c>
      <c r="G13" s="318">
        <v>6</v>
      </c>
      <c r="H13" s="318">
        <v>1</v>
      </c>
    </row>
    <row r="14" spans="1:8" s="121" customFormat="1" ht="14.5">
      <c r="A14" s="472"/>
      <c r="B14" s="450" t="s">
        <v>232</v>
      </c>
      <c r="C14" s="318">
        <f t="shared" si="0"/>
        <v>72</v>
      </c>
      <c r="D14" s="318">
        <v>39</v>
      </c>
      <c r="E14" s="318">
        <v>11</v>
      </c>
      <c r="F14" s="318">
        <v>11</v>
      </c>
      <c r="G14" s="318">
        <v>10</v>
      </c>
      <c r="H14" s="318">
        <v>1</v>
      </c>
    </row>
    <row r="15" spans="1:8" s="121" customFormat="1" ht="14.5">
      <c r="A15" s="472"/>
      <c r="B15" s="450" t="s">
        <v>233</v>
      </c>
      <c r="C15" s="318">
        <f t="shared" si="0"/>
        <v>104</v>
      </c>
      <c r="D15" s="318">
        <v>48</v>
      </c>
      <c r="E15" s="318">
        <v>9</v>
      </c>
      <c r="F15" s="318">
        <v>30</v>
      </c>
      <c r="G15" s="318">
        <v>14</v>
      </c>
      <c r="H15" s="318">
        <v>3</v>
      </c>
    </row>
    <row r="16" spans="1:8" s="121" customFormat="1" ht="14.5">
      <c r="A16" s="473"/>
      <c r="B16" s="452" t="s">
        <v>234</v>
      </c>
      <c r="C16" s="319">
        <f t="shared" si="0"/>
        <v>97</v>
      </c>
      <c r="D16" s="319">
        <v>58</v>
      </c>
      <c r="E16" s="319">
        <v>10</v>
      </c>
      <c r="F16" s="319">
        <v>20</v>
      </c>
      <c r="G16" s="319">
        <v>8</v>
      </c>
      <c r="H16" s="319">
        <v>1</v>
      </c>
    </row>
    <row r="17" spans="1:9" s="121" customFormat="1" ht="14.5">
      <c r="A17" s="471">
        <v>2018</v>
      </c>
      <c r="B17" s="454" t="s">
        <v>231</v>
      </c>
      <c r="C17" s="317">
        <f t="shared" si="0"/>
        <v>92</v>
      </c>
      <c r="D17" s="317">
        <v>47</v>
      </c>
      <c r="E17" s="317">
        <v>15</v>
      </c>
      <c r="F17" s="317">
        <v>20</v>
      </c>
      <c r="G17" s="317">
        <v>6</v>
      </c>
      <c r="H17" s="317">
        <v>4</v>
      </c>
    </row>
    <row r="18" spans="1:9" s="121" customFormat="1" ht="14.5">
      <c r="A18" s="472"/>
      <c r="B18" s="455" t="s">
        <v>232</v>
      </c>
      <c r="C18" s="318">
        <f t="shared" si="0"/>
        <v>84</v>
      </c>
      <c r="D18" s="318">
        <v>43</v>
      </c>
      <c r="E18" s="318">
        <v>18</v>
      </c>
      <c r="F18" s="318">
        <v>18</v>
      </c>
      <c r="G18" s="318">
        <v>4</v>
      </c>
      <c r="H18" s="318">
        <v>1</v>
      </c>
    </row>
    <row r="19" spans="1:9" s="121" customFormat="1" ht="14.5">
      <c r="A19" s="472"/>
      <c r="B19" s="455" t="s">
        <v>233</v>
      </c>
      <c r="C19" s="318">
        <f t="shared" si="0"/>
        <v>110</v>
      </c>
      <c r="D19" s="318">
        <v>63</v>
      </c>
      <c r="E19" s="318">
        <v>25</v>
      </c>
      <c r="F19" s="318">
        <v>18</v>
      </c>
      <c r="G19" s="318">
        <v>3</v>
      </c>
      <c r="H19" s="318">
        <v>1</v>
      </c>
    </row>
    <row r="20" spans="1:9" s="121" customFormat="1" ht="14.5">
      <c r="A20" s="473"/>
      <c r="B20" s="456" t="s">
        <v>234</v>
      </c>
      <c r="C20" s="319">
        <f t="shared" si="0"/>
        <v>129</v>
      </c>
      <c r="D20" s="319">
        <v>73</v>
      </c>
      <c r="E20" s="319">
        <v>20</v>
      </c>
      <c r="F20" s="319">
        <v>25</v>
      </c>
      <c r="G20" s="319">
        <v>10</v>
      </c>
      <c r="H20" s="320">
        <v>1</v>
      </c>
    </row>
    <row r="21" spans="1:9" s="121" customFormat="1" ht="14.5">
      <c r="A21" s="471">
        <v>2019</v>
      </c>
      <c r="B21" s="454" t="s">
        <v>231</v>
      </c>
      <c r="C21" s="317">
        <f>D21+E21+F21+G21</f>
        <v>115</v>
      </c>
      <c r="D21" s="317">
        <v>61</v>
      </c>
      <c r="E21" s="317">
        <v>23</v>
      </c>
      <c r="F21" s="317">
        <v>25</v>
      </c>
      <c r="G21" s="317">
        <v>6</v>
      </c>
      <c r="H21" s="317">
        <v>0</v>
      </c>
    </row>
    <row r="22" spans="1:9" s="121" customFormat="1" ht="14.5">
      <c r="A22" s="472"/>
      <c r="B22" s="455" t="s">
        <v>232</v>
      </c>
      <c r="C22" s="318">
        <f>D22+E22+F22+G22+H22</f>
        <v>123</v>
      </c>
      <c r="D22" s="318">
        <v>61</v>
      </c>
      <c r="E22" s="318">
        <v>24</v>
      </c>
      <c r="F22" s="318">
        <v>30</v>
      </c>
      <c r="G22" s="318">
        <v>6</v>
      </c>
      <c r="H22" s="318">
        <v>2</v>
      </c>
    </row>
    <row r="23" spans="1:9" s="121" customFormat="1" ht="14.5">
      <c r="A23" s="472"/>
      <c r="B23" s="455" t="s">
        <v>233</v>
      </c>
      <c r="C23" s="321">
        <f>D23+E23+F23+G23+H23</f>
        <v>107</v>
      </c>
      <c r="D23" s="321">
        <v>58</v>
      </c>
      <c r="E23" s="321">
        <v>18</v>
      </c>
      <c r="F23" s="318">
        <v>20</v>
      </c>
      <c r="G23" s="321">
        <v>10</v>
      </c>
      <c r="H23" s="318">
        <v>1</v>
      </c>
      <c r="I23" s="326"/>
    </row>
    <row r="24" spans="1:9" s="121" customFormat="1" ht="14.5">
      <c r="A24" s="473"/>
      <c r="B24" s="456" t="s">
        <v>234</v>
      </c>
      <c r="C24" s="319">
        <f>D24+E24+F24+G24</f>
        <v>111</v>
      </c>
      <c r="D24" s="319">
        <v>50</v>
      </c>
      <c r="E24" s="319">
        <v>27</v>
      </c>
      <c r="F24" s="319">
        <v>21</v>
      </c>
      <c r="G24" s="319">
        <v>13</v>
      </c>
      <c r="H24" s="319">
        <v>0</v>
      </c>
    </row>
    <row r="25" spans="1:9" s="121" customFormat="1" ht="14.5">
      <c r="A25" s="471">
        <v>2020</v>
      </c>
      <c r="B25" s="454" t="s">
        <v>231</v>
      </c>
      <c r="C25" s="317">
        <f>D25+E25+F25+G25</f>
        <v>76</v>
      </c>
      <c r="D25" s="317">
        <v>23</v>
      </c>
      <c r="E25" s="317">
        <v>25</v>
      </c>
      <c r="F25" s="317">
        <v>14</v>
      </c>
      <c r="G25" s="317">
        <v>14</v>
      </c>
      <c r="H25" s="317">
        <v>0</v>
      </c>
    </row>
    <row r="26" spans="1:9" s="121" customFormat="1" ht="14.5">
      <c r="A26" s="472"/>
      <c r="B26" s="455" t="s">
        <v>232</v>
      </c>
      <c r="C26" s="318">
        <f t="shared" ref="C26:C32" si="1">D26+E26+F26+G26+H26</f>
        <v>115</v>
      </c>
      <c r="D26" s="318">
        <v>50</v>
      </c>
      <c r="E26" s="318">
        <v>30</v>
      </c>
      <c r="F26" s="318">
        <v>19</v>
      </c>
      <c r="G26" s="318">
        <v>12</v>
      </c>
      <c r="H26" s="318">
        <v>4</v>
      </c>
    </row>
    <row r="27" spans="1:9" s="121" customFormat="1" ht="14.5">
      <c r="A27" s="472"/>
      <c r="B27" s="455" t="s">
        <v>233</v>
      </c>
      <c r="C27" s="318">
        <f t="shared" si="1"/>
        <v>182</v>
      </c>
      <c r="D27" s="318">
        <v>98</v>
      </c>
      <c r="E27" s="318">
        <v>35</v>
      </c>
      <c r="F27" s="318">
        <v>31</v>
      </c>
      <c r="G27" s="318">
        <v>11</v>
      </c>
      <c r="H27" s="318">
        <v>7</v>
      </c>
    </row>
    <row r="28" spans="1:9" s="121" customFormat="1" ht="14.5">
      <c r="A28" s="473"/>
      <c r="B28" s="456" t="s">
        <v>234</v>
      </c>
      <c r="C28" s="319">
        <f t="shared" si="1"/>
        <v>131</v>
      </c>
      <c r="D28" s="319">
        <v>70</v>
      </c>
      <c r="E28" s="319">
        <v>26</v>
      </c>
      <c r="F28" s="319">
        <v>24</v>
      </c>
      <c r="G28" s="319">
        <v>5</v>
      </c>
      <c r="H28" s="319">
        <v>6</v>
      </c>
    </row>
    <row r="29" spans="1:9" s="121" customFormat="1" ht="14.5">
      <c r="A29" s="471">
        <v>2021</v>
      </c>
      <c r="B29" s="454" t="s">
        <v>231</v>
      </c>
      <c r="C29" s="317">
        <f t="shared" si="1"/>
        <v>112</v>
      </c>
      <c r="D29" s="317">
        <v>68</v>
      </c>
      <c r="E29" s="317">
        <v>23</v>
      </c>
      <c r="F29" s="317">
        <v>9</v>
      </c>
      <c r="G29" s="317">
        <v>9</v>
      </c>
      <c r="H29" s="317">
        <v>3</v>
      </c>
    </row>
    <row r="30" spans="1:9" s="121" customFormat="1" ht="14.5">
      <c r="A30" s="472"/>
      <c r="B30" s="455" t="s">
        <v>232</v>
      </c>
      <c r="C30" s="321">
        <f t="shared" si="1"/>
        <v>105</v>
      </c>
      <c r="D30" s="321">
        <v>69</v>
      </c>
      <c r="E30" s="321">
        <v>21</v>
      </c>
      <c r="F30" s="584">
        <v>7</v>
      </c>
      <c r="G30" s="584">
        <v>5</v>
      </c>
      <c r="H30" s="318">
        <v>3</v>
      </c>
    </row>
    <row r="31" spans="1:9" s="121" customFormat="1">
      <c r="A31" s="449"/>
      <c r="B31" s="455" t="s">
        <v>233</v>
      </c>
      <c r="C31" s="321">
        <f t="shared" si="1"/>
        <v>133</v>
      </c>
      <c r="D31" s="321">
        <v>83</v>
      </c>
      <c r="E31" s="584">
        <v>28</v>
      </c>
      <c r="F31" s="584">
        <v>15</v>
      </c>
      <c r="G31" s="321">
        <v>7</v>
      </c>
      <c r="H31" s="318">
        <v>0</v>
      </c>
    </row>
    <row r="32" spans="1:9" s="121" customFormat="1">
      <c r="A32" s="451"/>
      <c r="B32" s="456" t="s">
        <v>234</v>
      </c>
      <c r="C32" s="586">
        <f t="shared" si="1"/>
        <v>129</v>
      </c>
      <c r="D32" s="586">
        <v>81</v>
      </c>
      <c r="E32" s="585">
        <v>15</v>
      </c>
      <c r="F32" s="585">
        <v>24</v>
      </c>
      <c r="G32" s="585">
        <v>7</v>
      </c>
      <c r="H32" s="319">
        <v>2</v>
      </c>
    </row>
    <row r="33" spans="1:8" s="121" customFormat="1" ht="14.5">
      <c r="A33" s="471">
        <v>2022</v>
      </c>
      <c r="B33" s="454" t="s">
        <v>231</v>
      </c>
      <c r="C33" s="317">
        <f t="shared" ref="C33:C46" si="2">D33+E33+F33+G33+H33</f>
        <v>124</v>
      </c>
      <c r="D33" s="317">
        <v>82</v>
      </c>
      <c r="E33" s="317">
        <v>16</v>
      </c>
      <c r="F33" s="317">
        <v>22</v>
      </c>
      <c r="G33" s="317">
        <v>4</v>
      </c>
      <c r="H33" s="317">
        <v>0</v>
      </c>
    </row>
    <row r="34" spans="1:8" s="121" customFormat="1" ht="14.5">
      <c r="A34" s="472"/>
      <c r="B34" s="455" t="s">
        <v>232</v>
      </c>
      <c r="C34" s="318">
        <f t="shared" si="2"/>
        <v>130</v>
      </c>
      <c r="D34" s="318">
        <v>71</v>
      </c>
      <c r="E34" s="318">
        <v>24</v>
      </c>
      <c r="F34" s="318">
        <v>25</v>
      </c>
      <c r="G34" s="318">
        <v>7</v>
      </c>
      <c r="H34" s="318">
        <v>3</v>
      </c>
    </row>
    <row r="35" spans="1:8" s="121" customFormat="1" ht="14.5">
      <c r="A35" s="472"/>
      <c r="B35" s="455" t="s">
        <v>233</v>
      </c>
      <c r="C35" s="318">
        <f t="shared" si="2"/>
        <v>135</v>
      </c>
      <c r="D35" s="318">
        <v>79</v>
      </c>
      <c r="E35" s="318">
        <v>23</v>
      </c>
      <c r="F35" s="318">
        <v>31</v>
      </c>
      <c r="G35" s="318">
        <v>2</v>
      </c>
      <c r="H35" s="318">
        <v>0</v>
      </c>
    </row>
    <row r="36" spans="1:8" s="121" customFormat="1" ht="14.5">
      <c r="A36" s="473"/>
      <c r="B36" s="456" t="s">
        <v>234</v>
      </c>
      <c r="C36" s="319">
        <f t="shared" si="2"/>
        <v>135</v>
      </c>
      <c r="D36" s="319">
        <v>86</v>
      </c>
      <c r="E36" s="319">
        <v>17</v>
      </c>
      <c r="F36" s="319">
        <v>24</v>
      </c>
      <c r="G36" s="319">
        <v>7</v>
      </c>
      <c r="H36" s="319">
        <v>1</v>
      </c>
    </row>
    <row r="37" spans="1:8" s="121" customFormat="1" ht="14.5">
      <c r="A37" s="471">
        <v>2023</v>
      </c>
      <c r="B37" s="454" t="s">
        <v>231</v>
      </c>
      <c r="C37" s="317">
        <f t="shared" si="2"/>
        <v>122</v>
      </c>
      <c r="D37" s="317">
        <v>77</v>
      </c>
      <c r="E37" s="317">
        <v>13</v>
      </c>
      <c r="F37" s="317">
        <v>26</v>
      </c>
      <c r="G37" s="317">
        <v>3</v>
      </c>
      <c r="H37" s="317">
        <v>3</v>
      </c>
    </row>
    <row r="38" spans="1:8" s="121" customFormat="1" ht="14.5">
      <c r="A38" s="472"/>
      <c r="B38" s="455" t="s">
        <v>232</v>
      </c>
      <c r="C38" s="318">
        <f t="shared" si="2"/>
        <v>129</v>
      </c>
      <c r="D38" s="318">
        <v>65</v>
      </c>
      <c r="E38" s="318">
        <v>27</v>
      </c>
      <c r="F38" s="318">
        <v>33</v>
      </c>
      <c r="G38" s="318">
        <v>3</v>
      </c>
      <c r="H38" s="318">
        <v>1</v>
      </c>
    </row>
    <row r="39" spans="1:8" s="121" customFormat="1" ht="14.5">
      <c r="A39" s="472"/>
      <c r="B39" s="455" t="s">
        <v>233</v>
      </c>
      <c r="C39" s="318">
        <f t="shared" si="2"/>
        <v>100</v>
      </c>
      <c r="D39" s="318">
        <v>59</v>
      </c>
      <c r="E39" s="318">
        <v>20</v>
      </c>
      <c r="F39" s="318">
        <v>18</v>
      </c>
      <c r="G39" s="318">
        <v>3</v>
      </c>
      <c r="H39" s="318">
        <v>0</v>
      </c>
    </row>
    <row r="40" spans="1:8" s="121" customFormat="1" ht="14.5">
      <c r="A40" s="473"/>
      <c r="B40" s="456" t="s">
        <v>234</v>
      </c>
      <c r="C40" s="319">
        <f t="shared" si="2"/>
        <v>137</v>
      </c>
      <c r="D40" s="319">
        <v>86</v>
      </c>
      <c r="E40" s="319">
        <v>20</v>
      </c>
      <c r="F40" s="319">
        <v>28</v>
      </c>
      <c r="G40" s="319">
        <v>3</v>
      </c>
      <c r="H40" s="319">
        <v>0</v>
      </c>
    </row>
    <row r="41" spans="1:8" s="121" customFormat="1" ht="14.5">
      <c r="A41" s="471">
        <v>2024</v>
      </c>
      <c r="B41" s="454" t="s">
        <v>231</v>
      </c>
      <c r="C41" s="317">
        <f t="shared" si="2"/>
        <v>81</v>
      </c>
      <c r="D41" s="317">
        <v>45</v>
      </c>
      <c r="E41" s="317">
        <v>14</v>
      </c>
      <c r="F41" s="317">
        <v>20</v>
      </c>
      <c r="G41" s="317">
        <v>2</v>
      </c>
      <c r="H41" s="317">
        <v>0</v>
      </c>
    </row>
    <row r="42" spans="1:8" s="121" customFormat="1" ht="14.5">
      <c r="A42" s="472"/>
      <c r="B42" s="455" t="s">
        <v>232</v>
      </c>
      <c r="C42" s="318">
        <f t="shared" si="2"/>
        <v>123</v>
      </c>
      <c r="D42" s="318">
        <v>74</v>
      </c>
      <c r="E42" s="318">
        <v>23</v>
      </c>
      <c r="F42" s="318">
        <v>26</v>
      </c>
      <c r="G42" s="318">
        <v>0</v>
      </c>
      <c r="H42" s="318">
        <v>0</v>
      </c>
    </row>
    <row r="43" spans="1:8" s="121" customFormat="1" ht="14.5">
      <c r="A43" s="472"/>
      <c r="B43" s="455" t="s">
        <v>233</v>
      </c>
      <c r="C43" s="318">
        <f t="shared" si="2"/>
        <v>134</v>
      </c>
      <c r="D43" s="318">
        <v>82</v>
      </c>
      <c r="E43" s="318">
        <v>34</v>
      </c>
      <c r="F43" s="318">
        <v>13</v>
      </c>
      <c r="G43" s="318">
        <v>3</v>
      </c>
      <c r="H43" s="318">
        <v>2</v>
      </c>
    </row>
    <row r="44" spans="1:8" s="121" customFormat="1" ht="14.5">
      <c r="A44" s="473"/>
      <c r="B44" s="456" t="s">
        <v>234</v>
      </c>
      <c r="C44" s="319">
        <f t="shared" si="2"/>
        <v>147</v>
      </c>
      <c r="D44" s="319">
        <v>78</v>
      </c>
      <c r="E44" s="319">
        <v>33</v>
      </c>
      <c r="F44" s="319">
        <v>29</v>
      </c>
      <c r="G44" s="319">
        <v>6</v>
      </c>
      <c r="H44" s="319">
        <v>1</v>
      </c>
    </row>
    <row r="45" spans="1:8" s="121" customFormat="1" ht="14.5">
      <c r="A45" s="471">
        <v>2025</v>
      </c>
      <c r="B45" s="454" t="s">
        <v>231</v>
      </c>
      <c r="C45" s="317">
        <f t="shared" si="2"/>
        <v>103</v>
      </c>
      <c r="D45" s="317">
        <v>60</v>
      </c>
      <c r="E45" s="317">
        <v>19</v>
      </c>
      <c r="F45" s="317">
        <v>17</v>
      </c>
      <c r="G45" s="317">
        <v>6</v>
      </c>
      <c r="H45" s="317">
        <v>1</v>
      </c>
    </row>
    <row r="46" spans="1:8" s="121" customFormat="1" ht="14.5">
      <c r="A46" s="473"/>
      <c r="B46" s="456" t="s">
        <v>232</v>
      </c>
      <c r="C46" s="319">
        <f t="shared" si="2"/>
        <v>146</v>
      </c>
      <c r="D46" s="319">
        <v>88</v>
      </c>
      <c r="E46" s="319">
        <v>27</v>
      </c>
      <c r="F46" s="319">
        <v>18</v>
      </c>
      <c r="G46" s="319">
        <v>12</v>
      </c>
      <c r="H46" s="319">
        <v>1</v>
      </c>
    </row>
    <row r="48" spans="1:8">
      <c r="A48" s="491" t="s">
        <v>118</v>
      </c>
      <c r="B48" s="485"/>
      <c r="C48" s="485"/>
      <c r="D48" s="485"/>
      <c r="E48" s="485"/>
      <c r="F48" s="485"/>
    </row>
    <row r="49" spans="1:8">
      <c r="A49" s="485"/>
      <c r="B49" s="485"/>
      <c r="C49" s="485"/>
      <c r="D49" s="485"/>
      <c r="E49" s="485"/>
      <c r="F49" s="485"/>
    </row>
    <row r="50" spans="1:8">
      <c r="A50" s="488" t="s">
        <v>168</v>
      </c>
      <c r="B50" s="536"/>
      <c r="C50" s="536"/>
      <c r="D50" s="536"/>
      <c r="E50" s="536"/>
      <c r="F50" s="536"/>
      <c r="G50" s="532"/>
      <c r="H50" s="532"/>
    </row>
  </sheetData>
  <sheetProtection formatCells="0" insertColumns="0" insertRows="0" deleteColumns="0" deleteRows="0"/>
  <mergeCells count="3">
    <mergeCell ref="A2:H2"/>
    <mergeCell ref="A3:B4"/>
    <mergeCell ref="C3:H3"/>
  </mergeCells>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0"/>
  <sheetViews>
    <sheetView zoomScaleNormal="100" workbookViewId="0">
      <pane ySplit="4" topLeftCell="A33" activePane="bottomLeft" state="frozen"/>
      <selection activeCell="J154" sqref="J154"/>
      <selection pane="bottomLeft"/>
    </sheetView>
  </sheetViews>
  <sheetFormatPr defaultColWidth="9.1796875" defaultRowHeight="13"/>
  <cols>
    <col min="1" max="1" width="6.81640625" style="65" customWidth="1"/>
    <col min="2" max="2" width="9" style="65" customWidth="1"/>
    <col min="3" max="3" width="15.453125" style="65" customWidth="1"/>
    <col min="4" max="8" width="13.81640625" style="65" customWidth="1"/>
    <col min="9" max="16384" width="9.1796875" style="65"/>
  </cols>
  <sheetData>
    <row r="1" spans="1:8" ht="13" customHeight="1">
      <c r="A1" s="533" t="s">
        <v>294</v>
      </c>
      <c r="B1" s="533"/>
      <c r="C1" s="533"/>
      <c r="D1" s="533"/>
      <c r="E1" s="533"/>
      <c r="F1" s="533"/>
      <c r="G1" s="533"/>
      <c r="H1" s="533"/>
    </row>
    <row r="2" spans="1:8">
      <c r="A2" s="750" t="s">
        <v>97</v>
      </c>
      <c r="B2" s="750"/>
      <c r="C2" s="750"/>
      <c r="D2" s="750"/>
      <c r="E2" s="750"/>
      <c r="F2" s="750"/>
      <c r="G2" s="750"/>
      <c r="H2" s="750"/>
    </row>
    <row r="3" spans="1:8" s="121" customFormat="1" ht="23.25" customHeight="1">
      <c r="A3" s="830" t="s">
        <v>98</v>
      </c>
      <c r="B3" s="831"/>
      <c r="C3" s="834" t="s">
        <v>295</v>
      </c>
      <c r="D3" s="835"/>
      <c r="E3" s="835"/>
      <c r="F3" s="835"/>
      <c r="G3" s="836"/>
      <c r="H3" s="837"/>
    </row>
    <row r="4" spans="1:8" s="121" customFormat="1" ht="24" customHeight="1">
      <c r="A4" s="832"/>
      <c r="B4" s="833"/>
      <c r="C4" s="538" t="s">
        <v>102</v>
      </c>
      <c r="D4" s="539" t="s">
        <v>289</v>
      </c>
      <c r="E4" s="539" t="s">
        <v>290</v>
      </c>
      <c r="F4" s="539" t="s">
        <v>291</v>
      </c>
      <c r="G4" s="539" t="s">
        <v>292</v>
      </c>
      <c r="H4" s="539" t="s">
        <v>293</v>
      </c>
    </row>
    <row r="5" spans="1:8" s="121" customFormat="1" ht="14.5">
      <c r="A5" s="472">
        <v>2015</v>
      </c>
      <c r="B5" s="453" t="s">
        <v>231</v>
      </c>
      <c r="C5" s="170">
        <f t="shared" ref="C5:C46" si="0">SUM(D5:H5)</f>
        <v>39.004498999999996</v>
      </c>
      <c r="D5" s="166">
        <v>16.085599999999999</v>
      </c>
      <c r="E5" s="170">
        <v>7.226</v>
      </c>
      <c r="F5" s="170">
        <v>6.3049999999999997</v>
      </c>
      <c r="G5" s="167">
        <v>9.3878990000000009</v>
      </c>
      <c r="H5" s="680" t="s">
        <v>296</v>
      </c>
    </row>
    <row r="6" spans="1:8" s="121" customFormat="1" ht="14.5">
      <c r="A6" s="472"/>
      <c r="B6" s="450" t="s">
        <v>232</v>
      </c>
      <c r="C6" s="166">
        <f t="shared" si="0"/>
        <v>44.368029999999997</v>
      </c>
      <c r="D6" s="166">
        <v>19.827279999999998</v>
      </c>
      <c r="E6" s="166">
        <v>9.3424999999999994</v>
      </c>
      <c r="F6" s="166">
        <v>5.5592499999999996</v>
      </c>
      <c r="G6" s="166">
        <v>8.7309999999999999</v>
      </c>
      <c r="H6" s="166">
        <v>0.90800000000000003</v>
      </c>
    </row>
    <row r="7" spans="1:8" s="121" customFormat="1" ht="14.5">
      <c r="A7" s="472"/>
      <c r="B7" s="450" t="s">
        <v>233</v>
      </c>
      <c r="C7" s="166">
        <f t="shared" si="0"/>
        <v>24.460993519999999</v>
      </c>
      <c r="D7" s="166">
        <v>13.59774352</v>
      </c>
      <c r="E7" s="166">
        <v>2.5830000000000002</v>
      </c>
      <c r="F7" s="166">
        <v>5.43025</v>
      </c>
      <c r="G7" s="166">
        <v>2.444</v>
      </c>
      <c r="H7" s="166">
        <v>0.40600000000000003</v>
      </c>
    </row>
    <row r="8" spans="1:8" s="121" customFormat="1" ht="14.5">
      <c r="A8" s="473"/>
      <c r="B8" s="452" t="s">
        <v>234</v>
      </c>
      <c r="C8" s="168">
        <f t="shared" si="0"/>
        <v>11.73175</v>
      </c>
      <c r="D8" s="168">
        <v>5.3129999999999997</v>
      </c>
      <c r="E8" s="168">
        <v>1.615</v>
      </c>
      <c r="F8" s="168">
        <v>2.6757499999999999</v>
      </c>
      <c r="G8" s="168">
        <v>1.694</v>
      </c>
      <c r="H8" s="168">
        <v>0.434</v>
      </c>
    </row>
    <row r="9" spans="1:8" s="121" customFormat="1" ht="14.5">
      <c r="A9" s="472">
        <v>2016</v>
      </c>
      <c r="B9" s="453" t="s">
        <v>231</v>
      </c>
      <c r="C9" s="170">
        <f t="shared" si="0"/>
        <v>25.415411000000002</v>
      </c>
      <c r="D9" s="166">
        <v>11.740523</v>
      </c>
      <c r="E9" s="170">
        <v>6.7140000000000004</v>
      </c>
      <c r="F9" s="170">
        <v>5.51</v>
      </c>
      <c r="G9" s="167">
        <v>1.260888</v>
      </c>
      <c r="H9" s="170">
        <v>0.19</v>
      </c>
    </row>
    <row r="10" spans="1:8" s="121" customFormat="1" ht="14.5">
      <c r="A10" s="472"/>
      <c r="B10" s="450" t="s">
        <v>232</v>
      </c>
      <c r="C10" s="166">
        <f t="shared" si="0"/>
        <v>20.129757490000003</v>
      </c>
      <c r="D10" s="166">
        <v>10.179497490000001</v>
      </c>
      <c r="E10" s="166">
        <v>4.2110000000000003</v>
      </c>
      <c r="F10" s="166">
        <v>4.6872600000000002</v>
      </c>
      <c r="G10" s="166">
        <v>0.77600000000000002</v>
      </c>
      <c r="H10" s="166">
        <v>0.27600000000000002</v>
      </c>
    </row>
    <row r="11" spans="1:8" s="121" customFormat="1" ht="14.5">
      <c r="A11" s="472"/>
      <c r="B11" s="450" t="s">
        <v>233</v>
      </c>
      <c r="C11" s="166">
        <f t="shared" si="0"/>
        <v>27.482293009999999</v>
      </c>
      <c r="D11" s="166">
        <v>16.423817660000001</v>
      </c>
      <c r="E11" s="166">
        <v>6.8193630000000001</v>
      </c>
      <c r="F11" s="166">
        <v>2.0059999999999998</v>
      </c>
      <c r="G11" s="166">
        <v>1.8260000000000001</v>
      </c>
      <c r="H11" s="166">
        <v>0.40711234999999996</v>
      </c>
    </row>
    <row r="12" spans="1:8" s="121" customFormat="1" ht="14.5">
      <c r="A12" s="473"/>
      <c r="B12" s="452" t="s">
        <v>234</v>
      </c>
      <c r="C12" s="168">
        <f t="shared" si="0"/>
        <v>32.252957689999995</v>
      </c>
      <c r="D12" s="168">
        <v>16.223100670000001</v>
      </c>
      <c r="E12" s="168">
        <v>6.0391472500000001</v>
      </c>
      <c r="F12" s="168">
        <v>5.6929999999999996</v>
      </c>
      <c r="G12" s="168">
        <v>3.4510000000000001</v>
      </c>
      <c r="H12" s="168">
        <v>0.84670977000000003</v>
      </c>
    </row>
    <row r="13" spans="1:8" s="121" customFormat="1" ht="14.5">
      <c r="A13" s="472">
        <v>2017</v>
      </c>
      <c r="B13" s="453" t="s">
        <v>231</v>
      </c>
      <c r="C13" s="170">
        <f t="shared" si="0"/>
        <v>23.438587170000002</v>
      </c>
      <c r="D13" s="166">
        <v>11.22519353</v>
      </c>
      <c r="E13" s="166">
        <v>5.0150714599999997</v>
      </c>
      <c r="F13" s="166">
        <v>4.576155</v>
      </c>
      <c r="G13" s="166">
        <v>2.5379999999999998</v>
      </c>
      <c r="H13" s="166">
        <v>8.4167179999999994E-2</v>
      </c>
    </row>
    <row r="14" spans="1:8" s="121" customFormat="1" ht="14.5">
      <c r="A14" s="472"/>
      <c r="B14" s="450" t="s">
        <v>232</v>
      </c>
      <c r="C14" s="166">
        <f t="shared" si="0"/>
        <v>22.549134519999999</v>
      </c>
      <c r="D14" s="166">
        <v>13.152834519999999</v>
      </c>
      <c r="E14" s="166">
        <v>3.0049000000000001</v>
      </c>
      <c r="F14" s="166">
        <v>2.7450000000000001</v>
      </c>
      <c r="G14" s="166">
        <v>3.5775000000000001</v>
      </c>
      <c r="H14" s="166">
        <v>6.8900000000000003E-2</v>
      </c>
    </row>
    <row r="15" spans="1:8" s="121" customFormat="1" ht="14.5">
      <c r="A15" s="472"/>
      <c r="B15" s="450" t="s">
        <v>233</v>
      </c>
      <c r="C15" s="166">
        <f t="shared" si="0"/>
        <v>26.909214900000002</v>
      </c>
      <c r="D15" s="166">
        <v>15.9449649</v>
      </c>
      <c r="E15" s="166">
        <v>2.4948999999999999</v>
      </c>
      <c r="F15" s="166">
        <v>4.77135</v>
      </c>
      <c r="G15" s="166">
        <v>2.948</v>
      </c>
      <c r="H15" s="166">
        <v>0.75</v>
      </c>
    </row>
    <row r="16" spans="1:8" s="121" customFormat="1" ht="14.5">
      <c r="A16" s="540"/>
      <c r="B16" s="452" t="s">
        <v>234</v>
      </c>
      <c r="C16" s="168">
        <f t="shared" si="0"/>
        <v>26.843465999999999</v>
      </c>
      <c r="D16" s="168">
        <v>16.859966</v>
      </c>
      <c r="E16" s="168">
        <v>2.9348999999999998</v>
      </c>
      <c r="F16" s="168">
        <v>4.3436000000000003</v>
      </c>
      <c r="G16" s="168">
        <v>2.5249999999999999</v>
      </c>
      <c r="H16" s="168">
        <v>0.18</v>
      </c>
    </row>
    <row r="17" spans="1:8" s="121" customFormat="1" ht="14.5">
      <c r="A17" s="471">
        <v>2018</v>
      </c>
      <c r="B17" s="453" t="s">
        <v>231</v>
      </c>
      <c r="C17" s="170">
        <f t="shared" si="0"/>
        <v>23.186222000000001</v>
      </c>
      <c r="D17" s="170">
        <v>13.9496</v>
      </c>
      <c r="E17" s="170">
        <v>3.818622</v>
      </c>
      <c r="F17" s="170">
        <v>3.68</v>
      </c>
      <c r="G17" s="170">
        <v>1.365</v>
      </c>
      <c r="H17" s="170">
        <v>0.373</v>
      </c>
    </row>
    <row r="18" spans="1:8" s="121" customFormat="1" ht="14.5">
      <c r="A18" s="472"/>
      <c r="B18" s="455" t="s">
        <v>232</v>
      </c>
      <c r="C18" s="166">
        <f t="shared" si="0"/>
        <v>22.697900000000001</v>
      </c>
      <c r="D18" s="166">
        <v>12.8568</v>
      </c>
      <c r="E18" s="166">
        <v>4.5941000000000001</v>
      </c>
      <c r="F18" s="166">
        <v>3.8260000000000001</v>
      </c>
      <c r="G18" s="166">
        <v>1.121</v>
      </c>
      <c r="H18" s="173">
        <v>0.3</v>
      </c>
    </row>
    <row r="19" spans="1:8" s="121" customFormat="1" ht="14.5">
      <c r="A19" s="472"/>
      <c r="B19" s="455" t="s">
        <v>233</v>
      </c>
      <c r="C19" s="166">
        <f t="shared" si="0"/>
        <v>27.999999999999996</v>
      </c>
      <c r="D19" s="166">
        <v>17.82</v>
      </c>
      <c r="E19" s="166">
        <v>5.83</v>
      </c>
      <c r="F19" s="166">
        <v>3.54</v>
      </c>
      <c r="G19" s="166">
        <v>0.72</v>
      </c>
      <c r="H19" s="166">
        <v>0.09</v>
      </c>
    </row>
    <row r="20" spans="1:8" s="121" customFormat="1" ht="14.5">
      <c r="A20" s="473"/>
      <c r="B20" s="456" t="s">
        <v>234</v>
      </c>
      <c r="C20" s="168">
        <f t="shared" si="0"/>
        <v>36.21</v>
      </c>
      <c r="D20" s="168">
        <v>22.7</v>
      </c>
      <c r="E20" s="168">
        <v>4.84</v>
      </c>
      <c r="F20" s="168">
        <v>5.85</v>
      </c>
      <c r="G20" s="168">
        <v>2.52</v>
      </c>
      <c r="H20" s="322">
        <v>0.3</v>
      </c>
    </row>
    <row r="21" spans="1:8" s="121" customFormat="1" ht="14.5">
      <c r="A21" s="471">
        <v>2019</v>
      </c>
      <c r="B21" s="454" t="s">
        <v>231</v>
      </c>
      <c r="C21" s="170">
        <f t="shared" si="0"/>
        <v>29.900000000000002</v>
      </c>
      <c r="D21" s="170">
        <v>17.690000000000001</v>
      </c>
      <c r="E21" s="170">
        <v>5.72</v>
      </c>
      <c r="F21" s="170">
        <v>4.28</v>
      </c>
      <c r="G21" s="170">
        <v>2.21</v>
      </c>
      <c r="H21" s="170" t="s">
        <v>296</v>
      </c>
    </row>
    <row r="22" spans="1:8" s="121" customFormat="1" ht="14.5">
      <c r="A22" s="472"/>
      <c r="B22" s="455" t="s">
        <v>232</v>
      </c>
      <c r="C22" s="166">
        <f t="shared" si="0"/>
        <v>32.693550000000002</v>
      </c>
      <c r="D22" s="232">
        <v>18.300650000000001</v>
      </c>
      <c r="E22" s="166">
        <v>6.4669999999999996</v>
      </c>
      <c r="F22" s="166">
        <v>5.8045</v>
      </c>
      <c r="G22" s="166">
        <v>1.871</v>
      </c>
      <c r="H22" s="166">
        <v>0.25040000000000001</v>
      </c>
    </row>
    <row r="23" spans="1:8" s="121" customFormat="1" ht="14.5">
      <c r="A23" s="472"/>
      <c r="B23" s="455" t="s">
        <v>233</v>
      </c>
      <c r="C23" s="232">
        <f t="shared" si="0"/>
        <v>30.085900000000002</v>
      </c>
      <c r="D23" s="166">
        <v>18.5</v>
      </c>
      <c r="E23" s="231">
        <v>4.9569000000000001</v>
      </c>
      <c r="F23" s="232">
        <v>4.3540000000000001</v>
      </c>
      <c r="G23" s="231">
        <v>2.19</v>
      </c>
      <c r="H23" s="166">
        <v>8.5000000000000006E-2</v>
      </c>
    </row>
    <row r="24" spans="1:8" s="121" customFormat="1" ht="14.5">
      <c r="A24" s="473"/>
      <c r="B24" s="456" t="s">
        <v>234</v>
      </c>
      <c r="C24" s="168">
        <f t="shared" si="0"/>
        <v>30.1</v>
      </c>
      <c r="D24" s="168">
        <v>14.6</v>
      </c>
      <c r="E24" s="168">
        <v>7.2</v>
      </c>
      <c r="F24" s="168">
        <v>4.7</v>
      </c>
      <c r="G24" s="168">
        <v>3.6</v>
      </c>
      <c r="H24" s="323" t="s">
        <v>296</v>
      </c>
    </row>
    <row r="25" spans="1:8" s="121" customFormat="1" ht="14.5">
      <c r="A25" s="471">
        <v>2020</v>
      </c>
      <c r="B25" s="454" t="s">
        <v>231</v>
      </c>
      <c r="C25" s="170">
        <f t="shared" si="0"/>
        <v>19.672756</v>
      </c>
      <c r="D25" s="170">
        <v>6.6502559999999997</v>
      </c>
      <c r="E25" s="170">
        <v>6.7670000000000003</v>
      </c>
      <c r="F25" s="170">
        <v>2.6135000000000002</v>
      </c>
      <c r="G25" s="170">
        <v>3.6419999999999999</v>
      </c>
      <c r="H25" s="324" t="s">
        <v>296</v>
      </c>
    </row>
    <row r="26" spans="1:8" s="121" customFormat="1" ht="14.5">
      <c r="A26" s="472"/>
      <c r="B26" s="455" t="s">
        <v>232</v>
      </c>
      <c r="C26" s="166">
        <f t="shared" si="0"/>
        <v>28.891919000000001</v>
      </c>
      <c r="D26" s="166">
        <v>14.082969</v>
      </c>
      <c r="E26" s="166">
        <v>7.8545499999999997</v>
      </c>
      <c r="F26" s="166">
        <v>3.4039999999999999</v>
      </c>
      <c r="G26" s="166">
        <v>3.1640000000000001</v>
      </c>
      <c r="H26" s="325">
        <v>0.38640000000000002</v>
      </c>
    </row>
    <row r="27" spans="1:8" s="121" customFormat="1" ht="14.5">
      <c r="A27" s="472"/>
      <c r="B27" s="455" t="s">
        <v>233</v>
      </c>
      <c r="C27" s="166">
        <f t="shared" si="0"/>
        <v>45.055199999999999</v>
      </c>
      <c r="D27" s="166">
        <v>26.5596</v>
      </c>
      <c r="E27" s="166">
        <v>8.3390000000000004</v>
      </c>
      <c r="F27" s="166">
        <v>6.4793000000000003</v>
      </c>
      <c r="G27" s="166">
        <v>2.5935000000000001</v>
      </c>
      <c r="H27" s="325">
        <v>1.0838000000000001</v>
      </c>
    </row>
    <row r="28" spans="1:8" s="121" customFormat="1" ht="14.5">
      <c r="A28" s="473"/>
      <c r="B28" s="456" t="s">
        <v>234</v>
      </c>
      <c r="C28" s="168">
        <f t="shared" si="0"/>
        <v>35.315553720000004</v>
      </c>
      <c r="D28" s="168">
        <v>21.77315372</v>
      </c>
      <c r="E28" s="168">
        <v>6.8855000000000004</v>
      </c>
      <c r="F28" s="168">
        <v>4.7910000000000004</v>
      </c>
      <c r="G28" s="168">
        <v>1.2090000000000001</v>
      </c>
      <c r="H28" s="323">
        <v>0.65690000000000004</v>
      </c>
    </row>
    <row r="29" spans="1:8" s="121" customFormat="1" ht="14.5">
      <c r="A29" s="471">
        <v>2021</v>
      </c>
      <c r="B29" s="454" t="s">
        <v>231</v>
      </c>
      <c r="C29" s="170">
        <f t="shared" si="0"/>
        <v>29.200253999999997</v>
      </c>
      <c r="D29" s="170">
        <v>20.283253999999999</v>
      </c>
      <c r="E29" s="170">
        <v>4.5609999999999999</v>
      </c>
      <c r="F29" s="170">
        <v>1.788</v>
      </c>
      <c r="G29" s="170">
        <v>2.0779999999999998</v>
      </c>
      <c r="H29" s="170">
        <v>0.49</v>
      </c>
    </row>
    <row r="30" spans="1:8" s="121" customFormat="1" ht="14.5">
      <c r="A30" s="472"/>
      <c r="B30" s="455" t="s">
        <v>232</v>
      </c>
      <c r="C30" s="232">
        <f t="shared" si="0"/>
        <v>28.731351</v>
      </c>
      <c r="D30" s="232">
        <v>20.581351000000002</v>
      </c>
      <c r="E30" s="232">
        <v>4.8639999999999999</v>
      </c>
      <c r="F30" s="214">
        <v>1.496</v>
      </c>
      <c r="G30" s="166">
        <v>1.4219999999999999</v>
      </c>
      <c r="H30" s="166">
        <v>0.36799999999999999</v>
      </c>
    </row>
    <row r="31" spans="1:8" s="121" customFormat="1">
      <c r="A31" s="449"/>
      <c r="B31" s="455" t="s">
        <v>233</v>
      </c>
      <c r="C31" s="232">
        <f t="shared" si="0"/>
        <v>35.337570110000001</v>
      </c>
      <c r="D31" s="232">
        <v>23.689570109999998</v>
      </c>
      <c r="E31" s="214">
        <v>7.1230000000000002</v>
      </c>
      <c r="F31" s="232">
        <v>3.2410000000000001</v>
      </c>
      <c r="G31" s="166">
        <v>1.284</v>
      </c>
      <c r="H31" s="166" t="s">
        <v>296</v>
      </c>
    </row>
    <row r="32" spans="1:8" s="121" customFormat="1">
      <c r="A32" s="451"/>
      <c r="B32" s="456" t="s">
        <v>234</v>
      </c>
      <c r="C32" s="587">
        <f t="shared" si="0"/>
        <v>35.136437880000003</v>
      </c>
      <c r="D32" s="587">
        <v>23.089149880000001</v>
      </c>
      <c r="E32" s="216">
        <v>3.8559999999999999</v>
      </c>
      <c r="F32" s="216">
        <v>5.1392879999999996</v>
      </c>
      <c r="G32" s="168">
        <v>2.677</v>
      </c>
      <c r="H32" s="168">
        <v>0.375</v>
      </c>
    </row>
    <row r="33" spans="1:8" s="121" customFormat="1" ht="14.5">
      <c r="A33" s="471">
        <v>2022</v>
      </c>
      <c r="B33" s="454" t="s">
        <v>231</v>
      </c>
      <c r="C33" s="170">
        <f t="shared" si="0"/>
        <v>32.610522020000005</v>
      </c>
      <c r="D33" s="170">
        <v>23.186522020000002</v>
      </c>
      <c r="E33" s="170">
        <v>3.9849999999999999</v>
      </c>
      <c r="F33" s="170">
        <v>4.6310000000000002</v>
      </c>
      <c r="G33" s="170">
        <v>0.80800000000000005</v>
      </c>
      <c r="H33" s="170" t="s">
        <v>296</v>
      </c>
    </row>
    <row r="34" spans="1:8" s="121" customFormat="1" ht="14.5">
      <c r="A34" s="472"/>
      <c r="B34" s="455" t="s">
        <v>232</v>
      </c>
      <c r="C34" s="166">
        <f t="shared" si="0"/>
        <v>33.918373209999999</v>
      </c>
      <c r="D34" s="166">
        <v>20.359373210000001</v>
      </c>
      <c r="E34" s="166">
        <v>5.8235000000000001</v>
      </c>
      <c r="F34" s="166">
        <v>5.1864999999999997</v>
      </c>
      <c r="G34" s="166">
        <v>2.1320000000000001</v>
      </c>
      <c r="H34" s="166">
        <v>0.41699999999999998</v>
      </c>
    </row>
    <row r="35" spans="1:8" s="121" customFormat="1" ht="14.5">
      <c r="A35" s="472"/>
      <c r="B35" s="455" t="s">
        <v>233</v>
      </c>
      <c r="C35" s="166">
        <f t="shared" si="0"/>
        <v>35.909274000000003</v>
      </c>
      <c r="D35" s="166">
        <v>22.806774000000001</v>
      </c>
      <c r="E35" s="166">
        <v>5.71</v>
      </c>
      <c r="F35" s="166">
        <v>6.7605000000000004</v>
      </c>
      <c r="G35" s="166">
        <v>0.63200000000000001</v>
      </c>
      <c r="H35" s="166" t="s">
        <v>296</v>
      </c>
    </row>
    <row r="36" spans="1:8" s="121" customFormat="1" ht="14.5">
      <c r="A36" s="473"/>
      <c r="B36" s="456" t="s">
        <v>234</v>
      </c>
      <c r="C36" s="168">
        <f t="shared" si="0"/>
        <v>38.134302449999993</v>
      </c>
      <c r="D36" s="168">
        <v>26.70420245</v>
      </c>
      <c r="E36" s="168">
        <v>4.5441000000000003</v>
      </c>
      <c r="F36" s="168">
        <v>4.7469999999999999</v>
      </c>
      <c r="G36" s="168">
        <v>1.669</v>
      </c>
      <c r="H36" s="168">
        <v>0.47</v>
      </c>
    </row>
    <row r="37" spans="1:8" s="121" customFormat="1" ht="14.5">
      <c r="A37" s="471">
        <v>2023</v>
      </c>
      <c r="B37" s="454" t="s">
        <v>231</v>
      </c>
      <c r="C37" s="170">
        <f t="shared" si="0"/>
        <v>31.9</v>
      </c>
      <c r="D37" s="170">
        <v>21.8</v>
      </c>
      <c r="E37" s="170">
        <v>2.9</v>
      </c>
      <c r="F37" s="170">
        <v>5.8</v>
      </c>
      <c r="G37" s="170">
        <v>1.2</v>
      </c>
      <c r="H37" s="170">
        <v>0.2</v>
      </c>
    </row>
    <row r="38" spans="1:8" s="121" customFormat="1" ht="14.5">
      <c r="A38" s="472"/>
      <c r="B38" s="455" t="s">
        <v>232</v>
      </c>
      <c r="C38" s="166">
        <f t="shared" si="0"/>
        <v>34.608076939999997</v>
      </c>
      <c r="D38" s="166">
        <v>20.581076939999999</v>
      </c>
      <c r="E38" s="166">
        <v>6.5819999999999999</v>
      </c>
      <c r="F38" s="166">
        <v>6.53</v>
      </c>
      <c r="G38" s="166">
        <v>0.75</v>
      </c>
      <c r="H38" s="166">
        <v>0.16500000000000001</v>
      </c>
    </row>
    <row r="39" spans="1:8" s="121" customFormat="1" ht="14.5">
      <c r="A39" s="472"/>
      <c r="B39" s="455" t="s">
        <v>233</v>
      </c>
      <c r="C39" s="166">
        <f t="shared" si="0"/>
        <v>26.982600000000001</v>
      </c>
      <c r="D39" s="166">
        <v>17.228100000000001</v>
      </c>
      <c r="E39" s="166">
        <v>5.28</v>
      </c>
      <c r="F39" s="166">
        <v>3.8355000000000001</v>
      </c>
      <c r="G39" s="166">
        <v>0.63900000000000001</v>
      </c>
      <c r="H39" s="166" t="s">
        <v>296</v>
      </c>
    </row>
    <row r="40" spans="1:8" s="121" customFormat="1" ht="14.5">
      <c r="A40" s="473"/>
      <c r="B40" s="456" t="s">
        <v>234</v>
      </c>
      <c r="C40" s="168">
        <f t="shared" si="0"/>
        <v>36.329276999999998</v>
      </c>
      <c r="D40" s="168">
        <v>24.668776999999999</v>
      </c>
      <c r="E40" s="168">
        <v>5.2290000000000001</v>
      </c>
      <c r="F40" s="168">
        <v>5.7934999999999999</v>
      </c>
      <c r="G40" s="168">
        <v>0.63800000000000001</v>
      </c>
      <c r="H40" s="168" t="s">
        <v>296</v>
      </c>
    </row>
    <row r="41" spans="1:8" s="121" customFormat="1" ht="14.5">
      <c r="A41" s="471">
        <v>2024</v>
      </c>
      <c r="B41" s="454" t="s">
        <v>231</v>
      </c>
      <c r="C41" s="170">
        <f t="shared" si="0"/>
        <v>20.558599999999998</v>
      </c>
      <c r="D41" s="170">
        <v>12.411099999999999</v>
      </c>
      <c r="E41" s="170">
        <v>3.1720000000000002</v>
      </c>
      <c r="F41" s="170">
        <v>4.5054999999999996</v>
      </c>
      <c r="G41" s="170">
        <v>0.47</v>
      </c>
      <c r="H41" s="170" t="s">
        <v>296</v>
      </c>
    </row>
    <row r="42" spans="1:8" s="121" customFormat="1" ht="14.5">
      <c r="A42" s="472"/>
      <c r="B42" s="455" t="s">
        <v>232</v>
      </c>
      <c r="C42" s="166">
        <f t="shared" si="0"/>
        <v>33.920929999999998</v>
      </c>
      <c r="D42" s="166">
        <v>22.17943</v>
      </c>
      <c r="E42" s="166">
        <v>6.4059999999999997</v>
      </c>
      <c r="F42" s="166">
        <v>5.3354999999999997</v>
      </c>
      <c r="G42" s="166" t="s">
        <v>296</v>
      </c>
      <c r="H42" s="166" t="s">
        <v>296</v>
      </c>
    </row>
    <row r="43" spans="1:8" s="121" customFormat="1" ht="14.5">
      <c r="A43" s="472"/>
      <c r="B43" s="455" t="s">
        <v>233</v>
      </c>
      <c r="C43" s="166">
        <f t="shared" si="0"/>
        <v>34.500532999999997</v>
      </c>
      <c r="D43" s="166">
        <v>21.844532999999998</v>
      </c>
      <c r="E43" s="166">
        <v>8.9280000000000008</v>
      </c>
      <c r="F43" s="166">
        <v>2.5409999999999999</v>
      </c>
      <c r="G43" s="166">
        <v>0.83499999999999996</v>
      </c>
      <c r="H43" s="166">
        <v>0.35199999999999998</v>
      </c>
    </row>
    <row r="44" spans="1:8" s="121" customFormat="1" ht="14.5">
      <c r="A44" s="473"/>
      <c r="B44" s="456" t="s">
        <v>234</v>
      </c>
      <c r="C44" s="168">
        <f t="shared" si="0"/>
        <v>36.527399719999998</v>
      </c>
      <c r="D44" s="168">
        <v>21.44717683</v>
      </c>
      <c r="E44" s="168">
        <v>7.6319999999999997</v>
      </c>
      <c r="F44" s="168">
        <v>5.4562228900000003</v>
      </c>
      <c r="G44" s="168">
        <v>1.8420000000000001</v>
      </c>
      <c r="H44" s="168">
        <v>0.15</v>
      </c>
    </row>
    <row r="45" spans="1:8" s="121" customFormat="1" ht="14.5">
      <c r="A45" s="471">
        <v>2025</v>
      </c>
      <c r="B45" s="454" t="s">
        <v>231</v>
      </c>
      <c r="C45" s="170">
        <f t="shared" si="0"/>
        <v>23.9</v>
      </c>
      <c r="D45" s="170">
        <v>15</v>
      </c>
      <c r="E45" s="170">
        <v>4.0999999999999996</v>
      </c>
      <c r="F45" s="170">
        <v>3.9</v>
      </c>
      <c r="G45" s="170">
        <v>0.9</v>
      </c>
      <c r="H45" s="170">
        <v>0</v>
      </c>
    </row>
    <row r="46" spans="1:8" s="121" customFormat="1" ht="14.5">
      <c r="A46" s="473"/>
      <c r="B46" s="456" t="s">
        <v>232</v>
      </c>
      <c r="C46" s="168">
        <f t="shared" si="0"/>
        <v>37.926413750000002</v>
      </c>
      <c r="D46" s="168">
        <v>25.255859749999999</v>
      </c>
      <c r="E46" s="168">
        <v>5.9189999999999996</v>
      </c>
      <c r="F46" s="168">
        <v>4.2240000000000002</v>
      </c>
      <c r="G46" s="168">
        <v>2.417554</v>
      </c>
      <c r="H46" s="168">
        <v>0.11</v>
      </c>
    </row>
    <row r="47" spans="1:8">
      <c r="B47" s="67"/>
      <c r="C47" s="88"/>
      <c r="D47" s="88"/>
      <c r="E47" s="88"/>
      <c r="F47" s="88"/>
      <c r="G47" s="88"/>
      <c r="H47" s="88"/>
    </row>
    <row r="48" spans="1:8">
      <c r="A48" s="491" t="s">
        <v>118</v>
      </c>
      <c r="B48" s="485"/>
    </row>
    <row r="49" spans="1:7">
      <c r="A49" s="475" t="s">
        <v>297</v>
      </c>
      <c r="B49" s="485"/>
      <c r="D49" s="537"/>
      <c r="F49" s="537"/>
      <c r="G49" s="537"/>
    </row>
    <row r="50" spans="1:7">
      <c r="A50" s="488" t="s">
        <v>168</v>
      </c>
      <c r="B50" s="485"/>
    </row>
  </sheetData>
  <sheetProtection formatCells="0" insertColumns="0" insertRows="0" deleteColumns="0" deleteRows="0"/>
  <mergeCells count="3">
    <mergeCell ref="A2:H2"/>
    <mergeCell ref="A3:B4"/>
    <mergeCell ref="C3:H3"/>
  </mergeCells>
  <printOptions horizontalCentered="1"/>
  <pageMargins left="0.7" right="0.7" top="0.75" bottom="0.75" header="0.3" footer="0.3"/>
  <pageSetup paperSize="9" scale="92" orientation="landscape" r:id="rId1"/>
  <ignoredErrors>
    <ignoredError sqref="C5:C8 C9:C20"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0"/>
  <sheetViews>
    <sheetView tabSelected="1" zoomScaleNormal="100" workbookViewId="0">
      <pane ySplit="4" topLeftCell="A33" activePane="bottomLeft" state="frozen"/>
      <selection activeCell="J154" sqref="J154"/>
      <selection pane="bottomLeft"/>
    </sheetView>
  </sheetViews>
  <sheetFormatPr defaultColWidth="9.1796875" defaultRowHeight="13"/>
  <cols>
    <col min="1" max="1" width="6.81640625" style="65" customWidth="1"/>
    <col min="2" max="2" width="9.81640625" style="65" customWidth="1"/>
    <col min="3" max="8" width="14.1796875" style="65" customWidth="1"/>
    <col min="9" max="16384" width="9.1796875" style="65"/>
  </cols>
  <sheetData>
    <row r="1" spans="1:8">
      <c r="A1" s="533" t="s">
        <v>298</v>
      </c>
      <c r="F1" s="838"/>
      <c r="G1" s="838"/>
      <c r="H1" s="838"/>
    </row>
    <row r="2" spans="1:8">
      <c r="A2" s="750" t="s">
        <v>299</v>
      </c>
      <c r="B2" s="750"/>
      <c r="C2" s="750"/>
      <c r="D2" s="750"/>
      <c r="E2" s="750"/>
      <c r="F2" s="750"/>
      <c r="G2" s="750"/>
      <c r="H2" s="750"/>
    </row>
    <row r="3" spans="1:8" s="121" customFormat="1" ht="21.75" customHeight="1">
      <c r="A3" s="830" t="s">
        <v>98</v>
      </c>
      <c r="B3" s="831"/>
      <c r="C3" s="834" t="s">
        <v>300</v>
      </c>
      <c r="D3" s="835"/>
      <c r="E3" s="835"/>
      <c r="F3" s="835"/>
      <c r="G3" s="836"/>
      <c r="H3" s="837"/>
    </row>
    <row r="4" spans="1:8" s="121" customFormat="1" ht="14.5">
      <c r="A4" s="832"/>
      <c r="B4" s="833"/>
      <c r="C4" s="538" t="s">
        <v>301</v>
      </c>
      <c r="D4" s="539" t="s">
        <v>289</v>
      </c>
      <c r="E4" s="539" t="s">
        <v>290</v>
      </c>
      <c r="F4" s="539" t="s">
        <v>291</v>
      </c>
      <c r="G4" s="539" t="s">
        <v>292</v>
      </c>
      <c r="H4" s="539" t="s">
        <v>293</v>
      </c>
    </row>
    <row r="5" spans="1:8" s="121" customFormat="1" ht="14.5">
      <c r="A5" s="472">
        <v>2015</v>
      </c>
      <c r="B5" s="453" t="s">
        <v>231</v>
      </c>
      <c r="C5" s="170">
        <v>270</v>
      </c>
      <c r="D5" s="166">
        <v>377.5</v>
      </c>
      <c r="E5" s="170">
        <v>289.5</v>
      </c>
      <c r="F5" s="170">
        <v>240</v>
      </c>
      <c r="G5" s="167">
        <v>240</v>
      </c>
      <c r="H5" s="681"/>
    </row>
    <row r="6" spans="1:8" s="121" customFormat="1" ht="14.5">
      <c r="A6" s="472"/>
      <c r="B6" s="450" t="s">
        <v>232</v>
      </c>
      <c r="C6" s="166">
        <v>246</v>
      </c>
      <c r="D6" s="166">
        <v>330</v>
      </c>
      <c r="E6" s="166">
        <v>280</v>
      </c>
      <c r="F6" s="166">
        <v>231.75</v>
      </c>
      <c r="G6" s="166">
        <v>223.7</v>
      </c>
      <c r="H6" s="166">
        <v>225</v>
      </c>
    </row>
    <row r="7" spans="1:8" s="121" customFormat="1" ht="14.5">
      <c r="A7" s="472"/>
      <c r="B7" s="450" t="s">
        <v>233</v>
      </c>
      <c r="C7" s="166">
        <v>295</v>
      </c>
      <c r="D7" s="166">
        <v>380</v>
      </c>
      <c r="E7" s="166">
        <v>245</v>
      </c>
      <c r="F7" s="166">
        <v>257.5</v>
      </c>
      <c r="G7" s="166">
        <v>255</v>
      </c>
      <c r="H7" s="166">
        <v>105</v>
      </c>
    </row>
    <row r="8" spans="1:8" s="121" customFormat="1" ht="14.5">
      <c r="A8" s="473"/>
      <c r="B8" s="452" t="s">
        <v>234</v>
      </c>
      <c r="C8" s="168">
        <v>270</v>
      </c>
      <c r="D8" s="168">
        <v>345</v>
      </c>
      <c r="E8" s="168">
        <v>287.5</v>
      </c>
      <c r="F8" s="168">
        <v>255</v>
      </c>
      <c r="G8" s="168">
        <v>246</v>
      </c>
      <c r="H8" s="168">
        <v>143</v>
      </c>
    </row>
    <row r="9" spans="1:8" s="121" customFormat="1" ht="14.5">
      <c r="A9" s="472">
        <v>2016</v>
      </c>
      <c r="B9" s="453" t="s">
        <v>231</v>
      </c>
      <c r="C9" s="170">
        <v>279</v>
      </c>
      <c r="D9" s="166">
        <v>290</v>
      </c>
      <c r="E9" s="170">
        <v>250</v>
      </c>
      <c r="F9" s="170">
        <v>270</v>
      </c>
      <c r="G9" s="167">
        <v>213.5</v>
      </c>
      <c r="H9" s="170">
        <v>95</v>
      </c>
    </row>
    <row r="10" spans="1:8" s="121" customFormat="1" ht="14.5">
      <c r="A10" s="472"/>
      <c r="B10" s="450" t="s">
        <v>232</v>
      </c>
      <c r="C10" s="166">
        <v>255</v>
      </c>
      <c r="D10" s="166">
        <v>257.5</v>
      </c>
      <c r="E10" s="166">
        <v>305</v>
      </c>
      <c r="F10" s="166">
        <v>255</v>
      </c>
      <c r="G10" s="166">
        <v>220</v>
      </c>
      <c r="H10" s="166">
        <v>138</v>
      </c>
    </row>
    <row r="11" spans="1:8" s="121" customFormat="1" ht="14.5">
      <c r="A11" s="472"/>
      <c r="B11" s="450" t="s">
        <v>233</v>
      </c>
      <c r="C11" s="166">
        <v>276.62987500000003</v>
      </c>
      <c r="D11" s="166">
        <v>280</v>
      </c>
      <c r="E11" s="166">
        <v>300</v>
      </c>
      <c r="F11" s="166">
        <v>203</v>
      </c>
      <c r="G11" s="166">
        <v>230</v>
      </c>
      <c r="H11" s="166">
        <v>64</v>
      </c>
    </row>
    <row r="12" spans="1:8" s="121" customFormat="1" ht="14.5">
      <c r="A12" s="473"/>
      <c r="B12" s="452" t="s">
        <v>234</v>
      </c>
      <c r="C12" s="168">
        <v>280</v>
      </c>
      <c r="D12" s="168">
        <v>320</v>
      </c>
      <c r="E12" s="168">
        <v>270</v>
      </c>
      <c r="F12" s="168">
        <v>255</v>
      </c>
      <c r="G12" s="168">
        <v>320</v>
      </c>
      <c r="H12" s="168">
        <v>100.19338500000001</v>
      </c>
    </row>
    <row r="13" spans="1:8" s="121" customFormat="1" ht="14.5">
      <c r="A13" s="471">
        <v>2017</v>
      </c>
      <c r="B13" s="453" t="s">
        <v>231</v>
      </c>
      <c r="C13" s="170">
        <v>280</v>
      </c>
      <c r="D13" s="170">
        <v>315</v>
      </c>
      <c r="E13" s="170">
        <v>286</v>
      </c>
      <c r="F13" s="170">
        <v>210</v>
      </c>
      <c r="G13" s="170">
        <v>440.75</v>
      </c>
      <c r="H13" s="170">
        <v>84.167179999999988</v>
      </c>
    </row>
    <row r="14" spans="1:8" s="121" customFormat="1" ht="14.5">
      <c r="A14" s="541"/>
      <c r="B14" s="450" t="s">
        <v>232</v>
      </c>
      <c r="C14" s="166">
        <v>285</v>
      </c>
      <c r="D14" s="166">
        <v>318</v>
      </c>
      <c r="E14" s="166">
        <v>300</v>
      </c>
      <c r="F14" s="166">
        <v>250</v>
      </c>
      <c r="G14" s="166">
        <v>324</v>
      </c>
      <c r="H14" s="166">
        <v>68.900000000000006</v>
      </c>
    </row>
    <row r="15" spans="1:8" s="121" customFormat="1" ht="14.5">
      <c r="A15" s="472"/>
      <c r="B15" s="450" t="s">
        <v>233</v>
      </c>
      <c r="C15" s="166">
        <v>228.5</v>
      </c>
      <c r="D15" s="166">
        <v>316.5</v>
      </c>
      <c r="E15" s="166">
        <v>280</v>
      </c>
      <c r="F15" s="166">
        <v>116.25</v>
      </c>
      <c r="G15" s="166">
        <v>210</v>
      </c>
      <c r="H15" s="166">
        <v>220</v>
      </c>
    </row>
    <row r="16" spans="1:8" s="121" customFormat="1" ht="14.5">
      <c r="A16" s="540"/>
      <c r="B16" s="452" t="s">
        <v>234</v>
      </c>
      <c r="C16" s="168">
        <v>267</v>
      </c>
      <c r="D16" s="168">
        <v>286</v>
      </c>
      <c r="E16" s="168">
        <v>288.5</v>
      </c>
      <c r="F16" s="168">
        <v>218</v>
      </c>
      <c r="G16" s="168">
        <v>367.5</v>
      </c>
      <c r="H16" s="168">
        <v>180</v>
      </c>
    </row>
    <row r="17" spans="1:9" s="121" customFormat="1" ht="14.5">
      <c r="A17" s="471">
        <v>2018</v>
      </c>
      <c r="B17" s="454" t="s">
        <v>231</v>
      </c>
      <c r="C17" s="170">
        <v>250</v>
      </c>
      <c r="D17" s="170">
        <v>299</v>
      </c>
      <c r="E17" s="170">
        <v>260</v>
      </c>
      <c r="F17" s="170">
        <v>185</v>
      </c>
      <c r="G17" s="170">
        <v>205</v>
      </c>
      <c r="H17" s="170">
        <v>82</v>
      </c>
    </row>
    <row r="18" spans="1:9" s="121" customFormat="1" ht="14.5">
      <c r="A18" s="472"/>
      <c r="B18" s="455" t="s">
        <v>232</v>
      </c>
      <c r="C18" s="166">
        <v>260</v>
      </c>
      <c r="D18" s="166">
        <v>280</v>
      </c>
      <c r="E18" s="166">
        <v>257.5</v>
      </c>
      <c r="F18" s="166">
        <v>210</v>
      </c>
      <c r="G18" s="166">
        <v>283</v>
      </c>
      <c r="H18" s="166">
        <v>300</v>
      </c>
    </row>
    <row r="19" spans="1:9" s="121" customFormat="1" ht="14.5">
      <c r="A19" s="472"/>
      <c r="B19" s="455" t="s">
        <v>233</v>
      </c>
      <c r="C19" s="166">
        <v>250</v>
      </c>
      <c r="D19" s="166">
        <v>280</v>
      </c>
      <c r="E19" s="232">
        <v>255</v>
      </c>
      <c r="F19" s="166">
        <v>193</v>
      </c>
      <c r="G19" s="166">
        <v>215</v>
      </c>
      <c r="H19" s="173">
        <v>91</v>
      </c>
    </row>
    <row r="20" spans="1:9" s="121" customFormat="1" ht="14.5">
      <c r="A20" s="473"/>
      <c r="B20" s="456" t="s">
        <v>234</v>
      </c>
      <c r="C20" s="168">
        <v>252</v>
      </c>
      <c r="D20" s="168">
        <v>280</v>
      </c>
      <c r="E20" s="168">
        <v>245</v>
      </c>
      <c r="F20" s="168">
        <v>245</v>
      </c>
      <c r="G20" s="168">
        <v>240</v>
      </c>
      <c r="H20" s="322">
        <v>304.8</v>
      </c>
    </row>
    <row r="21" spans="1:9" s="121" customFormat="1" ht="14.5">
      <c r="A21" s="471">
        <v>2019</v>
      </c>
      <c r="B21" s="454" t="s">
        <v>231</v>
      </c>
      <c r="C21" s="170">
        <v>245</v>
      </c>
      <c r="D21" s="170">
        <v>288</v>
      </c>
      <c r="E21" s="170">
        <v>250</v>
      </c>
      <c r="F21" s="170">
        <v>159.5</v>
      </c>
      <c r="G21" s="170">
        <v>325</v>
      </c>
      <c r="H21" s="170"/>
    </row>
    <row r="22" spans="1:9" s="121" customFormat="1" ht="14.5">
      <c r="A22" s="472"/>
      <c r="B22" s="455" t="s">
        <v>232</v>
      </c>
      <c r="C22" s="166">
        <v>260</v>
      </c>
      <c r="D22" s="166">
        <v>286</v>
      </c>
      <c r="E22" s="166">
        <v>268</v>
      </c>
      <c r="F22" s="166">
        <v>198</v>
      </c>
      <c r="G22" s="166">
        <v>326</v>
      </c>
      <c r="H22" s="166">
        <v>125</v>
      </c>
    </row>
    <row r="23" spans="1:9" s="121" customFormat="1" ht="14.5">
      <c r="A23" s="472"/>
      <c r="B23" s="455" t="s">
        <v>233</v>
      </c>
      <c r="C23" s="166">
        <v>260</v>
      </c>
      <c r="D23" s="232">
        <v>293</v>
      </c>
      <c r="E23" s="232">
        <v>288</v>
      </c>
      <c r="F23" s="166">
        <v>205</v>
      </c>
      <c r="G23" s="232">
        <v>195</v>
      </c>
      <c r="H23" s="166">
        <v>85</v>
      </c>
      <c r="I23" s="326"/>
    </row>
    <row r="24" spans="1:9" s="121" customFormat="1" ht="14.5">
      <c r="A24" s="473"/>
      <c r="B24" s="456" t="s">
        <v>234</v>
      </c>
      <c r="C24" s="168">
        <v>258</v>
      </c>
      <c r="D24" s="168">
        <v>285</v>
      </c>
      <c r="E24" s="168">
        <v>271</v>
      </c>
      <c r="F24" s="168">
        <v>225</v>
      </c>
      <c r="G24" s="168">
        <v>223</v>
      </c>
      <c r="H24" s="168"/>
    </row>
    <row r="25" spans="1:9" s="121" customFormat="1" ht="14.5">
      <c r="A25" s="471">
        <v>2020</v>
      </c>
      <c r="B25" s="454" t="s">
        <v>231</v>
      </c>
      <c r="C25" s="170">
        <v>249</v>
      </c>
      <c r="D25" s="170">
        <v>300</v>
      </c>
      <c r="E25" s="170">
        <v>260</v>
      </c>
      <c r="F25" s="170">
        <v>176.75</v>
      </c>
      <c r="G25" s="170">
        <v>232</v>
      </c>
      <c r="H25" s="170"/>
    </row>
    <row r="26" spans="1:9" s="121" customFormat="1" ht="14.5">
      <c r="A26" s="472"/>
      <c r="B26" s="455" t="s">
        <v>232</v>
      </c>
      <c r="C26" s="166">
        <v>238</v>
      </c>
      <c r="D26" s="166">
        <v>247.5</v>
      </c>
      <c r="E26" s="166">
        <v>272</v>
      </c>
      <c r="F26" s="166">
        <v>165</v>
      </c>
      <c r="G26" s="166">
        <v>234</v>
      </c>
      <c r="H26" s="166">
        <v>80.2</v>
      </c>
    </row>
    <row r="27" spans="1:9" s="121" customFormat="1" ht="14.5">
      <c r="A27" s="472"/>
      <c r="B27" s="455" t="s">
        <v>233</v>
      </c>
      <c r="C27" s="166">
        <v>240</v>
      </c>
      <c r="D27" s="166">
        <v>266.5</v>
      </c>
      <c r="E27" s="166">
        <v>248</v>
      </c>
      <c r="F27" s="166">
        <v>208.8</v>
      </c>
      <c r="G27" s="166">
        <v>215</v>
      </c>
      <c r="H27" s="166">
        <v>152</v>
      </c>
    </row>
    <row r="28" spans="1:9" s="121" customFormat="1" ht="14.5">
      <c r="A28" s="473"/>
      <c r="B28" s="456" t="s">
        <v>234</v>
      </c>
      <c r="C28" s="168">
        <v>245</v>
      </c>
      <c r="D28" s="168">
        <v>289</v>
      </c>
      <c r="E28" s="168">
        <v>250</v>
      </c>
      <c r="F28" s="168">
        <v>202.5</v>
      </c>
      <c r="G28" s="168">
        <v>210</v>
      </c>
      <c r="H28" s="168">
        <v>75</v>
      </c>
    </row>
    <row r="29" spans="1:9" s="121" customFormat="1" ht="14.5">
      <c r="A29" s="471">
        <v>2021</v>
      </c>
      <c r="B29" s="454" t="s">
        <v>231</v>
      </c>
      <c r="C29" s="170">
        <v>247</v>
      </c>
      <c r="D29" s="170">
        <v>282.5</v>
      </c>
      <c r="E29" s="170">
        <v>185</v>
      </c>
      <c r="F29" s="170">
        <v>215</v>
      </c>
      <c r="G29" s="170">
        <v>220</v>
      </c>
      <c r="H29" s="170">
        <v>150</v>
      </c>
    </row>
    <row r="30" spans="1:9" s="121" customFormat="1" ht="14.5">
      <c r="A30" s="472"/>
      <c r="B30" s="455" t="s">
        <v>232</v>
      </c>
      <c r="C30" s="588">
        <v>280</v>
      </c>
      <c r="D30" s="588">
        <v>300</v>
      </c>
      <c r="E30" s="588">
        <v>262</v>
      </c>
      <c r="F30" s="589">
        <v>210</v>
      </c>
      <c r="G30" s="589">
        <v>230</v>
      </c>
      <c r="H30" s="589">
        <v>145</v>
      </c>
    </row>
    <row r="31" spans="1:9" s="121" customFormat="1">
      <c r="A31" s="449"/>
      <c r="B31" s="455" t="s">
        <v>233</v>
      </c>
      <c r="C31" s="589">
        <v>250</v>
      </c>
      <c r="D31" s="589">
        <v>258</v>
      </c>
      <c r="E31" s="589">
        <v>265</v>
      </c>
      <c r="F31" s="589">
        <v>215</v>
      </c>
      <c r="G31" s="589">
        <v>250</v>
      </c>
      <c r="H31" s="589"/>
    </row>
    <row r="32" spans="1:9" s="121" customFormat="1">
      <c r="A32" s="451"/>
      <c r="B32" s="456" t="s">
        <v>234</v>
      </c>
      <c r="C32" s="590">
        <v>268</v>
      </c>
      <c r="D32" s="590">
        <v>295.8</v>
      </c>
      <c r="E32" s="591">
        <v>255</v>
      </c>
      <c r="F32" s="590">
        <v>219.4</v>
      </c>
      <c r="G32" s="591">
        <v>240</v>
      </c>
      <c r="H32" s="591">
        <v>187.5</v>
      </c>
    </row>
    <row r="33" spans="1:8" s="121" customFormat="1" ht="14.5">
      <c r="A33" s="471">
        <v>2022</v>
      </c>
      <c r="B33" s="454" t="s">
        <v>231</v>
      </c>
      <c r="C33" s="592">
        <v>246.5</v>
      </c>
      <c r="D33" s="592">
        <v>260</v>
      </c>
      <c r="E33" s="592">
        <v>260</v>
      </c>
      <c r="F33" s="592">
        <v>203</v>
      </c>
      <c r="G33" s="592">
        <v>216.5</v>
      </c>
      <c r="H33" s="592"/>
    </row>
    <row r="34" spans="1:8" s="121" customFormat="1" ht="14.5">
      <c r="A34" s="472"/>
      <c r="B34" s="455" t="s">
        <v>232</v>
      </c>
      <c r="C34" s="589">
        <v>249.5</v>
      </c>
      <c r="D34" s="589">
        <v>268</v>
      </c>
      <c r="E34" s="589">
        <v>254</v>
      </c>
      <c r="F34" s="589">
        <v>210</v>
      </c>
      <c r="G34" s="589">
        <v>265</v>
      </c>
      <c r="H34" s="589">
        <v>122</v>
      </c>
    </row>
    <row r="35" spans="1:8" s="121" customFormat="1" ht="14.5">
      <c r="A35" s="472"/>
      <c r="B35" s="455" t="s">
        <v>233</v>
      </c>
      <c r="C35" s="589">
        <v>255</v>
      </c>
      <c r="D35" s="589">
        <v>278</v>
      </c>
      <c r="E35" s="589">
        <v>260</v>
      </c>
      <c r="F35" s="589">
        <v>197</v>
      </c>
      <c r="G35" s="589">
        <v>316</v>
      </c>
      <c r="H35" s="589"/>
    </row>
    <row r="36" spans="1:8" s="121" customFormat="1" ht="14.5">
      <c r="A36" s="473"/>
      <c r="B36" s="456" t="s">
        <v>234</v>
      </c>
      <c r="C36" s="591">
        <v>260</v>
      </c>
      <c r="D36" s="591">
        <v>289</v>
      </c>
      <c r="E36" s="591">
        <v>280</v>
      </c>
      <c r="F36" s="591">
        <v>191</v>
      </c>
      <c r="G36" s="591">
        <v>230</v>
      </c>
      <c r="H36" s="591">
        <v>470</v>
      </c>
    </row>
    <row r="37" spans="1:8" s="121" customFormat="1" ht="14.5">
      <c r="A37" s="471">
        <v>2023</v>
      </c>
      <c r="B37" s="454" t="s">
        <v>231</v>
      </c>
      <c r="C37" s="592">
        <v>251</v>
      </c>
      <c r="D37" s="592">
        <v>278</v>
      </c>
      <c r="E37" s="592">
        <v>275</v>
      </c>
      <c r="F37" s="592">
        <v>213</v>
      </c>
      <c r="G37" s="592">
        <v>320</v>
      </c>
      <c r="H37" s="592">
        <v>65</v>
      </c>
    </row>
    <row r="38" spans="1:8" s="121" customFormat="1" ht="14.5">
      <c r="A38" s="472"/>
      <c r="B38" s="455" t="s">
        <v>232</v>
      </c>
      <c r="C38" s="589">
        <v>252</v>
      </c>
      <c r="D38" s="589">
        <v>300</v>
      </c>
      <c r="E38" s="589">
        <v>258</v>
      </c>
      <c r="F38" s="589">
        <v>200</v>
      </c>
      <c r="G38" s="589">
        <v>260</v>
      </c>
      <c r="H38" s="589">
        <v>165</v>
      </c>
    </row>
    <row r="39" spans="1:8" s="121" customFormat="1" ht="14.5">
      <c r="A39" s="472"/>
      <c r="B39" s="455" t="s">
        <v>233</v>
      </c>
      <c r="C39" s="589">
        <v>260</v>
      </c>
      <c r="D39" s="589">
        <v>288</v>
      </c>
      <c r="E39" s="589">
        <v>267.5</v>
      </c>
      <c r="F39" s="589">
        <v>213</v>
      </c>
      <c r="G39" s="589">
        <v>215</v>
      </c>
      <c r="H39" s="589"/>
    </row>
    <row r="40" spans="1:8" s="121" customFormat="1" ht="14.5">
      <c r="A40" s="473"/>
      <c r="B40" s="456" t="s">
        <v>234</v>
      </c>
      <c r="C40" s="591">
        <v>258</v>
      </c>
      <c r="D40" s="591">
        <v>272</v>
      </c>
      <c r="E40" s="591">
        <v>275.5</v>
      </c>
      <c r="F40" s="591">
        <v>202.5</v>
      </c>
      <c r="G40" s="591">
        <v>210</v>
      </c>
      <c r="H40" s="591"/>
    </row>
    <row r="41" spans="1:8" s="121" customFormat="1" ht="14.5">
      <c r="A41" s="471">
        <v>2024</v>
      </c>
      <c r="B41" s="454" t="s">
        <v>231</v>
      </c>
      <c r="C41" s="592">
        <v>247</v>
      </c>
      <c r="D41" s="592">
        <v>278</v>
      </c>
      <c r="E41" s="592">
        <v>246</v>
      </c>
      <c r="F41" s="592">
        <v>220</v>
      </c>
      <c r="G41" s="592">
        <v>235</v>
      </c>
      <c r="H41" s="592"/>
    </row>
    <row r="42" spans="1:8" s="121" customFormat="1" ht="14.5">
      <c r="A42" s="472"/>
      <c r="B42" s="455" t="s">
        <v>232</v>
      </c>
      <c r="C42" s="589">
        <v>250</v>
      </c>
      <c r="D42" s="589">
        <v>269</v>
      </c>
      <c r="E42" s="589">
        <v>285</v>
      </c>
      <c r="F42" s="589">
        <v>212</v>
      </c>
      <c r="G42" s="589"/>
      <c r="H42" s="589"/>
    </row>
    <row r="43" spans="1:8" s="121" customFormat="1" ht="14.5">
      <c r="A43" s="472"/>
      <c r="B43" s="455" t="s">
        <v>233</v>
      </c>
      <c r="C43" s="589">
        <v>249.8</v>
      </c>
      <c r="D43" s="589">
        <v>252.3</v>
      </c>
      <c r="E43" s="589">
        <v>262.5</v>
      </c>
      <c r="F43" s="589">
        <v>199</v>
      </c>
      <c r="G43" s="589">
        <v>305</v>
      </c>
      <c r="H43" s="589">
        <v>176</v>
      </c>
    </row>
    <row r="44" spans="1:8" s="121" customFormat="1" ht="14.5">
      <c r="A44" s="473"/>
      <c r="B44" s="456" t="s">
        <v>234</v>
      </c>
      <c r="C44" s="591">
        <v>240.5</v>
      </c>
      <c r="D44" s="591">
        <v>260</v>
      </c>
      <c r="E44" s="591">
        <v>218</v>
      </c>
      <c r="F44" s="591">
        <v>198</v>
      </c>
      <c r="G44" s="591">
        <v>287.5</v>
      </c>
      <c r="H44" s="591">
        <v>150</v>
      </c>
    </row>
    <row r="45" spans="1:8" s="121" customFormat="1" ht="14.5">
      <c r="A45" s="471">
        <v>2025</v>
      </c>
      <c r="B45" s="454" t="s">
        <v>231</v>
      </c>
      <c r="C45" s="592">
        <v>220</v>
      </c>
      <c r="D45" s="592">
        <v>230</v>
      </c>
      <c r="E45" s="592">
        <v>220</v>
      </c>
      <c r="F45" s="592">
        <v>215</v>
      </c>
      <c r="G45" s="592">
        <v>137</v>
      </c>
      <c r="H45" s="592">
        <v>39</v>
      </c>
    </row>
    <row r="46" spans="1:8" s="121" customFormat="1" ht="14.5">
      <c r="A46" s="473"/>
      <c r="B46" s="456" t="s">
        <v>232</v>
      </c>
      <c r="C46" s="591">
        <v>254.5</v>
      </c>
      <c r="D46" s="591">
        <v>276.5</v>
      </c>
      <c r="E46" s="591">
        <v>209</v>
      </c>
      <c r="F46" s="591">
        <v>235</v>
      </c>
      <c r="G46" s="591">
        <v>203</v>
      </c>
      <c r="H46" s="591">
        <v>110</v>
      </c>
    </row>
    <row r="47" spans="1:8">
      <c r="B47" s="67"/>
    </row>
    <row r="48" spans="1:8">
      <c r="A48" s="491" t="s">
        <v>118</v>
      </c>
      <c r="B48" s="89"/>
    </row>
    <row r="49" spans="1:8" ht="23" customHeight="1">
      <c r="A49" s="839" t="s">
        <v>412</v>
      </c>
      <c r="B49" s="839"/>
      <c r="C49" s="839"/>
      <c r="D49" s="839"/>
      <c r="E49" s="839"/>
      <c r="F49" s="839"/>
      <c r="G49" s="839"/>
      <c r="H49" s="839"/>
    </row>
    <row r="50" spans="1:8">
      <c r="A50" s="488" t="s">
        <v>168</v>
      </c>
    </row>
  </sheetData>
  <sheetProtection formatCells="0" insertColumns="0" insertRows="0" deleteColumns="0" deleteRows="0"/>
  <mergeCells count="5">
    <mergeCell ref="A2:H2"/>
    <mergeCell ref="A3:B4"/>
    <mergeCell ref="C3:H3"/>
    <mergeCell ref="F1:H1"/>
    <mergeCell ref="A49:H49"/>
  </mergeCells>
  <printOptions horizontalCentered="1"/>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B89B-DDB7-4CF7-80E7-BE96299773E0}">
  <dimension ref="A1"/>
  <sheetViews>
    <sheetView showGridLines="0" workbookViewId="0">
      <selection activeCell="R7" sqref="R7"/>
    </sheetView>
  </sheetViews>
  <sheetFormatPr defaultRowHeight="14.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52"/>
  <sheetViews>
    <sheetView zoomScaleNormal="100" workbookViewId="0">
      <pane ySplit="5" topLeftCell="A38" activePane="bottomLeft" state="frozen"/>
      <selection activeCell="J154" sqref="J154"/>
      <selection pane="bottomLeft"/>
    </sheetView>
  </sheetViews>
  <sheetFormatPr defaultColWidth="9.1796875" defaultRowHeight="13"/>
  <cols>
    <col min="1" max="1" width="6.1796875" style="65" customWidth="1"/>
    <col min="2" max="2" width="7.1796875" style="65" customWidth="1"/>
    <col min="3" max="4" width="8.81640625" style="65" customWidth="1"/>
    <col min="5" max="5" width="10.1796875" style="65" customWidth="1"/>
    <col min="6" max="6" width="10" style="65" customWidth="1"/>
    <col min="7" max="7" width="8.81640625" style="65" customWidth="1"/>
    <col min="8" max="8" width="10.453125" style="65" customWidth="1"/>
    <col min="9" max="10" width="8.81640625" style="65" customWidth="1"/>
    <col min="11" max="12" width="10.81640625" style="65" customWidth="1"/>
    <col min="13" max="13" width="8.81640625" style="65" customWidth="1"/>
    <col min="14" max="14" width="10.81640625" style="65" customWidth="1"/>
    <col min="15" max="27" width="8.81640625" style="65" customWidth="1"/>
    <col min="28" max="16384" width="9.1796875" style="65"/>
  </cols>
  <sheetData>
    <row r="1" spans="1:27">
      <c r="A1" s="533" t="s">
        <v>302</v>
      </c>
    </row>
    <row r="2" spans="1:27">
      <c r="A2" s="763" t="s">
        <v>287</v>
      </c>
      <c r="B2" s="763"/>
      <c r="C2" s="763"/>
      <c r="D2" s="763"/>
      <c r="E2" s="763"/>
      <c r="F2" s="763"/>
      <c r="G2" s="763"/>
      <c r="H2" s="763"/>
      <c r="I2" s="763"/>
      <c r="J2" s="763"/>
      <c r="K2" s="763"/>
      <c r="L2" s="763"/>
      <c r="M2" s="763"/>
      <c r="N2" s="763"/>
      <c r="O2" s="763"/>
      <c r="P2" s="763"/>
      <c r="Q2" s="763"/>
      <c r="R2" s="763"/>
      <c r="S2" s="763"/>
      <c r="T2" s="763"/>
      <c r="U2" s="763"/>
      <c r="V2" s="763"/>
      <c r="W2" s="763"/>
      <c r="X2" s="763"/>
      <c r="Y2" s="763"/>
      <c r="Z2" s="763"/>
      <c r="AA2" s="763"/>
    </row>
    <row r="3" spans="1:27" s="121" customFormat="1" ht="23.25" customHeight="1">
      <c r="A3" s="840" t="s">
        <v>98</v>
      </c>
      <c r="B3" s="841"/>
      <c r="C3" s="846" t="s">
        <v>303</v>
      </c>
      <c r="D3" s="847"/>
      <c r="E3" s="847"/>
      <c r="F3" s="847"/>
      <c r="G3" s="847"/>
      <c r="H3" s="847"/>
      <c r="I3" s="847"/>
      <c r="J3" s="847"/>
      <c r="K3" s="847"/>
      <c r="L3" s="847"/>
      <c r="M3" s="847"/>
      <c r="N3" s="847"/>
      <c r="O3" s="847"/>
      <c r="P3" s="847"/>
      <c r="Q3" s="847"/>
      <c r="R3" s="847"/>
      <c r="S3" s="847"/>
      <c r="T3" s="847"/>
      <c r="U3" s="847"/>
      <c r="V3" s="847"/>
      <c r="W3" s="847"/>
      <c r="X3" s="847"/>
      <c r="Y3" s="847"/>
      <c r="Z3" s="847"/>
      <c r="AA3" s="848"/>
    </row>
    <row r="4" spans="1:27" s="121" customFormat="1" ht="23.25" customHeight="1">
      <c r="A4" s="842"/>
      <c r="B4" s="843"/>
      <c r="C4" s="542"/>
      <c r="D4" s="846" t="s">
        <v>304</v>
      </c>
      <c r="E4" s="847"/>
      <c r="F4" s="847"/>
      <c r="G4" s="847"/>
      <c r="H4" s="847"/>
      <c r="I4" s="847"/>
      <c r="J4" s="846" t="s">
        <v>305</v>
      </c>
      <c r="K4" s="849"/>
      <c r="L4" s="849"/>
      <c r="M4" s="849"/>
      <c r="N4" s="849"/>
      <c r="O4" s="850"/>
      <c r="P4" s="846" t="s">
        <v>306</v>
      </c>
      <c r="Q4" s="849"/>
      <c r="R4" s="849"/>
      <c r="S4" s="849"/>
      <c r="T4" s="849"/>
      <c r="U4" s="850"/>
      <c r="V4" s="851" t="s">
        <v>307</v>
      </c>
      <c r="W4" s="852"/>
      <c r="X4" s="852"/>
      <c r="Y4" s="852"/>
      <c r="Z4" s="852"/>
      <c r="AA4" s="852"/>
    </row>
    <row r="5" spans="1:27" s="121" customFormat="1" ht="31.5" customHeight="1">
      <c r="A5" s="844"/>
      <c r="B5" s="845"/>
      <c r="C5" s="543" t="s">
        <v>301</v>
      </c>
      <c r="D5" s="543" t="s">
        <v>301</v>
      </c>
      <c r="E5" s="544" t="s">
        <v>289</v>
      </c>
      <c r="F5" s="544" t="s">
        <v>308</v>
      </c>
      <c r="G5" s="544" t="s">
        <v>291</v>
      </c>
      <c r="H5" s="544" t="s">
        <v>292</v>
      </c>
      <c r="I5" s="545" t="s">
        <v>293</v>
      </c>
      <c r="J5" s="546" t="s">
        <v>301</v>
      </c>
      <c r="K5" s="547" t="s">
        <v>289</v>
      </c>
      <c r="L5" s="544" t="s">
        <v>308</v>
      </c>
      <c r="M5" s="544" t="s">
        <v>291</v>
      </c>
      <c r="N5" s="544" t="s">
        <v>292</v>
      </c>
      <c r="O5" s="545" t="s">
        <v>293</v>
      </c>
      <c r="P5" s="546" t="s">
        <v>301</v>
      </c>
      <c r="Q5" s="547" t="s">
        <v>289</v>
      </c>
      <c r="R5" s="544" t="s">
        <v>308</v>
      </c>
      <c r="S5" s="544" t="s">
        <v>291</v>
      </c>
      <c r="T5" s="544" t="s">
        <v>292</v>
      </c>
      <c r="U5" s="545" t="s">
        <v>293</v>
      </c>
      <c r="V5" s="546" t="s">
        <v>301</v>
      </c>
      <c r="W5" s="547" t="s">
        <v>289</v>
      </c>
      <c r="X5" s="544" t="s">
        <v>308</v>
      </c>
      <c r="Y5" s="544" t="s">
        <v>291</v>
      </c>
      <c r="Z5" s="544" t="s">
        <v>292</v>
      </c>
      <c r="AA5" s="544" t="s">
        <v>293</v>
      </c>
    </row>
    <row r="6" spans="1:27" s="121" customFormat="1" ht="14.5" customHeight="1">
      <c r="A6" s="472">
        <v>2015</v>
      </c>
      <c r="B6" s="453" t="s">
        <v>231</v>
      </c>
      <c r="C6" s="330">
        <f t="shared" ref="C6:C18" si="0">D6+J6+P6+V6</f>
        <v>131</v>
      </c>
      <c r="D6" s="330">
        <f t="shared" ref="D6:D18" si="1">SUM(E6:I6)</f>
        <v>119</v>
      </c>
      <c r="E6" s="327">
        <v>40</v>
      </c>
      <c r="F6" s="330">
        <v>23</v>
      </c>
      <c r="G6" s="330">
        <v>24</v>
      </c>
      <c r="H6" s="328">
        <v>32</v>
      </c>
      <c r="I6" s="330">
        <v>0</v>
      </c>
      <c r="J6" s="327">
        <f t="shared" ref="J6:J17" si="2">SUM(K6:O6)</f>
        <v>0</v>
      </c>
      <c r="K6" s="330">
        <v>0</v>
      </c>
      <c r="L6" s="330">
        <v>0</v>
      </c>
      <c r="M6" s="330">
        <v>0</v>
      </c>
      <c r="N6" s="330">
        <v>0</v>
      </c>
      <c r="O6" s="330">
        <v>0</v>
      </c>
      <c r="P6" s="327">
        <f t="shared" ref="P6:P17" si="3">SUM(Q6:U6)</f>
        <v>12</v>
      </c>
      <c r="Q6" s="330">
        <v>4</v>
      </c>
      <c r="R6" s="330">
        <v>1</v>
      </c>
      <c r="S6" s="330">
        <v>1</v>
      </c>
      <c r="T6" s="330">
        <v>6</v>
      </c>
      <c r="U6" s="330">
        <v>0</v>
      </c>
      <c r="V6" s="327">
        <f t="shared" ref="V6:V17" si="4">SUM(W6:AA6)</f>
        <v>0</v>
      </c>
      <c r="W6" s="330">
        <v>0</v>
      </c>
      <c r="X6" s="330">
        <v>0</v>
      </c>
      <c r="Y6" s="330">
        <v>0</v>
      </c>
      <c r="Z6" s="330">
        <v>0</v>
      </c>
      <c r="AA6" s="330">
        <v>0</v>
      </c>
    </row>
    <row r="7" spans="1:27" s="121" customFormat="1" ht="14.5" customHeight="1">
      <c r="A7" s="472"/>
      <c r="B7" s="450" t="s">
        <v>232</v>
      </c>
      <c r="C7" s="327">
        <f t="shared" si="0"/>
        <v>153</v>
      </c>
      <c r="D7" s="327">
        <f t="shared" si="1"/>
        <v>143</v>
      </c>
      <c r="E7" s="327">
        <v>52</v>
      </c>
      <c r="F7" s="327">
        <v>32</v>
      </c>
      <c r="G7" s="327">
        <v>21</v>
      </c>
      <c r="H7" s="327">
        <v>35</v>
      </c>
      <c r="I7" s="327">
        <v>3</v>
      </c>
      <c r="J7" s="327">
        <f t="shared" si="2"/>
        <v>1</v>
      </c>
      <c r="K7" s="327">
        <v>0</v>
      </c>
      <c r="L7" s="327">
        <v>0</v>
      </c>
      <c r="M7" s="327">
        <v>0</v>
      </c>
      <c r="N7" s="327">
        <v>0</v>
      </c>
      <c r="O7" s="327">
        <v>1</v>
      </c>
      <c r="P7" s="327">
        <f t="shared" si="3"/>
        <v>9</v>
      </c>
      <c r="Q7" s="327">
        <v>3</v>
      </c>
      <c r="R7" s="327">
        <v>1</v>
      </c>
      <c r="S7" s="327">
        <v>2</v>
      </c>
      <c r="T7" s="327">
        <v>3</v>
      </c>
      <c r="U7" s="327">
        <v>0</v>
      </c>
      <c r="V7" s="327">
        <f t="shared" si="4"/>
        <v>0</v>
      </c>
      <c r="W7" s="327">
        <v>0</v>
      </c>
      <c r="X7" s="327">
        <v>0</v>
      </c>
      <c r="Y7" s="327">
        <v>0</v>
      </c>
      <c r="Z7" s="327">
        <v>0</v>
      </c>
      <c r="AA7" s="327">
        <v>0</v>
      </c>
    </row>
    <row r="8" spans="1:27" s="121" customFormat="1" ht="14.5" customHeight="1">
      <c r="A8" s="472"/>
      <c r="B8" s="450" t="s">
        <v>233</v>
      </c>
      <c r="C8" s="327">
        <f t="shared" si="0"/>
        <v>72</v>
      </c>
      <c r="D8" s="327">
        <f t="shared" si="1"/>
        <v>63</v>
      </c>
      <c r="E8" s="327">
        <v>28</v>
      </c>
      <c r="F8" s="327">
        <v>8</v>
      </c>
      <c r="G8" s="327">
        <v>17</v>
      </c>
      <c r="H8" s="327">
        <v>7</v>
      </c>
      <c r="I8" s="327">
        <v>3</v>
      </c>
      <c r="J8" s="327">
        <f t="shared" si="2"/>
        <v>3</v>
      </c>
      <c r="K8" s="327">
        <v>2</v>
      </c>
      <c r="L8" s="327">
        <v>1</v>
      </c>
      <c r="M8" s="327">
        <v>0</v>
      </c>
      <c r="N8" s="327">
        <v>0</v>
      </c>
      <c r="O8" s="327">
        <v>0</v>
      </c>
      <c r="P8" s="327">
        <f t="shared" si="3"/>
        <v>5</v>
      </c>
      <c r="Q8" s="327">
        <v>0</v>
      </c>
      <c r="R8" s="327">
        <v>1</v>
      </c>
      <c r="S8" s="327">
        <v>1</v>
      </c>
      <c r="T8" s="327">
        <v>2</v>
      </c>
      <c r="U8" s="327">
        <v>1</v>
      </c>
      <c r="V8" s="327">
        <f t="shared" si="4"/>
        <v>1</v>
      </c>
      <c r="W8" s="327">
        <v>1</v>
      </c>
      <c r="X8" s="327">
        <v>0</v>
      </c>
      <c r="Y8" s="327">
        <v>0</v>
      </c>
      <c r="Z8" s="327">
        <v>0</v>
      </c>
      <c r="AA8" s="327">
        <v>0</v>
      </c>
    </row>
    <row r="9" spans="1:27" s="121" customFormat="1" ht="14.5" customHeight="1">
      <c r="A9" s="473"/>
      <c r="B9" s="452" t="s">
        <v>234</v>
      </c>
      <c r="C9" s="329">
        <f t="shared" si="0"/>
        <v>42</v>
      </c>
      <c r="D9" s="329">
        <f t="shared" si="1"/>
        <v>38</v>
      </c>
      <c r="E9" s="329">
        <v>16</v>
      </c>
      <c r="F9" s="329">
        <v>6</v>
      </c>
      <c r="G9" s="329">
        <v>10</v>
      </c>
      <c r="H9" s="329">
        <v>4</v>
      </c>
      <c r="I9" s="329">
        <v>2</v>
      </c>
      <c r="J9" s="329">
        <f t="shared" si="2"/>
        <v>0</v>
      </c>
      <c r="K9" s="329">
        <v>0</v>
      </c>
      <c r="L9" s="329">
        <v>0</v>
      </c>
      <c r="M9" s="329">
        <v>0</v>
      </c>
      <c r="N9" s="329">
        <v>0</v>
      </c>
      <c r="O9" s="329">
        <v>0</v>
      </c>
      <c r="P9" s="329">
        <f t="shared" si="3"/>
        <v>3</v>
      </c>
      <c r="Q9" s="329">
        <v>1</v>
      </c>
      <c r="R9" s="329">
        <v>0</v>
      </c>
      <c r="S9" s="329">
        <v>0</v>
      </c>
      <c r="T9" s="329">
        <v>2</v>
      </c>
      <c r="U9" s="329">
        <v>0</v>
      </c>
      <c r="V9" s="329">
        <f t="shared" si="4"/>
        <v>1</v>
      </c>
      <c r="W9" s="329">
        <v>0</v>
      </c>
      <c r="X9" s="329">
        <v>0</v>
      </c>
      <c r="Y9" s="329">
        <v>0</v>
      </c>
      <c r="Z9" s="329">
        <v>0</v>
      </c>
      <c r="AA9" s="329">
        <v>1</v>
      </c>
    </row>
    <row r="10" spans="1:27" s="121" customFormat="1" ht="14.5" customHeight="1">
      <c r="A10" s="472">
        <v>2016</v>
      </c>
      <c r="B10" s="453" t="s">
        <v>231</v>
      </c>
      <c r="C10" s="330">
        <f t="shared" si="0"/>
        <v>97</v>
      </c>
      <c r="D10" s="330">
        <f t="shared" si="1"/>
        <v>91</v>
      </c>
      <c r="E10" s="327">
        <v>40</v>
      </c>
      <c r="F10" s="330">
        <v>26</v>
      </c>
      <c r="G10" s="330">
        <v>18</v>
      </c>
      <c r="H10" s="328">
        <v>6</v>
      </c>
      <c r="I10" s="330">
        <v>1</v>
      </c>
      <c r="J10" s="327">
        <f t="shared" si="2"/>
        <v>1</v>
      </c>
      <c r="K10" s="330">
        <v>1</v>
      </c>
      <c r="L10" s="330">
        <v>0</v>
      </c>
      <c r="M10" s="330">
        <v>0</v>
      </c>
      <c r="N10" s="330">
        <v>0</v>
      </c>
      <c r="O10" s="330">
        <v>0</v>
      </c>
      <c r="P10" s="327">
        <f t="shared" si="3"/>
        <v>5</v>
      </c>
      <c r="Q10" s="330">
        <v>0</v>
      </c>
      <c r="R10" s="330">
        <v>1</v>
      </c>
      <c r="S10" s="330">
        <v>3</v>
      </c>
      <c r="T10" s="330">
        <v>0</v>
      </c>
      <c r="U10" s="330">
        <v>1</v>
      </c>
      <c r="V10" s="327">
        <f t="shared" si="4"/>
        <v>0</v>
      </c>
      <c r="W10" s="330">
        <v>0</v>
      </c>
      <c r="X10" s="330">
        <v>0</v>
      </c>
      <c r="Y10" s="330">
        <v>0</v>
      </c>
      <c r="Z10" s="330">
        <v>0</v>
      </c>
      <c r="AA10" s="330">
        <v>0</v>
      </c>
    </row>
    <row r="11" spans="1:27" s="121" customFormat="1" ht="14.5" customHeight="1">
      <c r="A11" s="472"/>
      <c r="B11" s="450" t="s">
        <v>232</v>
      </c>
      <c r="C11" s="327">
        <f t="shared" si="0"/>
        <v>75</v>
      </c>
      <c r="D11" s="327">
        <f t="shared" si="1"/>
        <v>62</v>
      </c>
      <c r="E11" s="327">
        <v>35</v>
      </c>
      <c r="F11" s="327">
        <v>12</v>
      </c>
      <c r="G11" s="327">
        <v>13</v>
      </c>
      <c r="H11" s="327">
        <v>1</v>
      </c>
      <c r="I11" s="327">
        <v>1</v>
      </c>
      <c r="J11" s="327">
        <f t="shared" si="2"/>
        <v>6</v>
      </c>
      <c r="K11" s="327">
        <v>5</v>
      </c>
      <c r="L11" s="327">
        <v>0</v>
      </c>
      <c r="M11" s="327">
        <v>0</v>
      </c>
      <c r="N11" s="327">
        <v>0</v>
      </c>
      <c r="O11" s="327">
        <v>1</v>
      </c>
      <c r="P11" s="327">
        <f t="shared" si="3"/>
        <v>7</v>
      </c>
      <c r="Q11" s="327">
        <v>0</v>
      </c>
      <c r="R11" s="327">
        <v>2</v>
      </c>
      <c r="S11" s="327">
        <v>3</v>
      </c>
      <c r="T11" s="327">
        <v>2</v>
      </c>
      <c r="U11" s="327">
        <v>0</v>
      </c>
      <c r="V11" s="327">
        <f t="shared" si="4"/>
        <v>0</v>
      </c>
      <c r="W11" s="327">
        <v>0</v>
      </c>
      <c r="X11" s="327">
        <v>0</v>
      </c>
      <c r="Y11" s="327">
        <v>0</v>
      </c>
      <c r="Z11" s="327">
        <v>0</v>
      </c>
      <c r="AA11" s="327">
        <v>0</v>
      </c>
    </row>
    <row r="12" spans="1:27" s="121" customFormat="1" ht="14.5" customHeight="1">
      <c r="A12" s="472"/>
      <c r="B12" s="450" t="s">
        <v>233</v>
      </c>
      <c r="C12" s="327">
        <f t="shared" si="0"/>
        <v>100</v>
      </c>
      <c r="D12" s="327">
        <f t="shared" si="1"/>
        <v>88</v>
      </c>
      <c r="E12" s="327">
        <v>52</v>
      </c>
      <c r="F12" s="327">
        <v>19</v>
      </c>
      <c r="G12" s="327">
        <v>8</v>
      </c>
      <c r="H12" s="327">
        <v>5</v>
      </c>
      <c r="I12" s="327">
        <v>4</v>
      </c>
      <c r="J12" s="327">
        <f t="shared" si="2"/>
        <v>7</v>
      </c>
      <c r="K12" s="327">
        <v>2</v>
      </c>
      <c r="L12" s="327">
        <v>2</v>
      </c>
      <c r="M12" s="327">
        <v>1</v>
      </c>
      <c r="N12" s="327">
        <v>0</v>
      </c>
      <c r="O12" s="327">
        <v>2</v>
      </c>
      <c r="P12" s="327">
        <f t="shared" si="3"/>
        <v>5</v>
      </c>
      <c r="Q12" s="327">
        <v>1</v>
      </c>
      <c r="R12" s="327">
        <v>2</v>
      </c>
      <c r="S12" s="327">
        <v>0</v>
      </c>
      <c r="T12" s="327">
        <v>2</v>
      </c>
      <c r="U12" s="327">
        <v>0</v>
      </c>
      <c r="V12" s="327">
        <f t="shared" si="4"/>
        <v>0</v>
      </c>
      <c r="W12" s="327">
        <v>0</v>
      </c>
      <c r="X12" s="327">
        <v>0</v>
      </c>
      <c r="Y12" s="327">
        <v>0</v>
      </c>
      <c r="Z12" s="327">
        <v>0</v>
      </c>
      <c r="AA12" s="327">
        <v>0</v>
      </c>
    </row>
    <row r="13" spans="1:27" s="121" customFormat="1" ht="14.5" customHeight="1">
      <c r="A13" s="473"/>
      <c r="B13" s="452" t="s">
        <v>234</v>
      </c>
      <c r="C13" s="329">
        <f t="shared" si="0"/>
        <v>106</v>
      </c>
      <c r="D13" s="329">
        <f t="shared" si="1"/>
        <v>90</v>
      </c>
      <c r="E13" s="329">
        <v>41</v>
      </c>
      <c r="F13" s="329">
        <v>21</v>
      </c>
      <c r="G13" s="329">
        <v>19</v>
      </c>
      <c r="H13" s="329">
        <v>5</v>
      </c>
      <c r="I13" s="329">
        <v>4</v>
      </c>
      <c r="J13" s="329">
        <f t="shared" si="2"/>
        <v>6</v>
      </c>
      <c r="K13" s="329">
        <v>3</v>
      </c>
      <c r="L13" s="329">
        <v>1</v>
      </c>
      <c r="M13" s="329">
        <v>1</v>
      </c>
      <c r="N13" s="329">
        <v>0</v>
      </c>
      <c r="O13" s="329">
        <v>1</v>
      </c>
      <c r="P13" s="329">
        <f t="shared" si="3"/>
        <v>9</v>
      </c>
      <c r="Q13" s="329">
        <v>2</v>
      </c>
      <c r="R13" s="329">
        <v>0</v>
      </c>
      <c r="S13" s="329">
        <v>1</v>
      </c>
      <c r="T13" s="329">
        <v>6</v>
      </c>
      <c r="U13" s="329">
        <v>0</v>
      </c>
      <c r="V13" s="329">
        <f t="shared" si="4"/>
        <v>1</v>
      </c>
      <c r="W13" s="329">
        <v>0</v>
      </c>
      <c r="X13" s="329">
        <v>0</v>
      </c>
      <c r="Y13" s="329">
        <v>0</v>
      </c>
      <c r="Z13" s="329">
        <v>0</v>
      </c>
      <c r="AA13" s="329">
        <v>1</v>
      </c>
    </row>
    <row r="14" spans="1:27" s="121" customFormat="1" ht="14.5" customHeight="1">
      <c r="A14" s="471">
        <v>2017</v>
      </c>
      <c r="B14" s="453" t="s">
        <v>231</v>
      </c>
      <c r="C14" s="330">
        <f t="shared" si="0"/>
        <v>84</v>
      </c>
      <c r="D14" s="330">
        <f t="shared" si="1"/>
        <v>71</v>
      </c>
      <c r="E14" s="330">
        <v>33</v>
      </c>
      <c r="F14" s="330">
        <v>18</v>
      </c>
      <c r="G14" s="330">
        <v>14</v>
      </c>
      <c r="H14" s="330">
        <v>5</v>
      </c>
      <c r="I14" s="330">
        <v>1</v>
      </c>
      <c r="J14" s="330">
        <f t="shared" si="2"/>
        <v>4</v>
      </c>
      <c r="K14" s="330">
        <v>2</v>
      </c>
      <c r="L14" s="330">
        <v>0</v>
      </c>
      <c r="M14" s="330">
        <v>2</v>
      </c>
      <c r="N14" s="330">
        <v>0</v>
      </c>
      <c r="O14" s="330">
        <v>0</v>
      </c>
      <c r="P14" s="330">
        <f t="shared" si="3"/>
        <v>9</v>
      </c>
      <c r="Q14" s="330">
        <v>1</v>
      </c>
      <c r="R14" s="330">
        <v>0</v>
      </c>
      <c r="S14" s="330">
        <v>7</v>
      </c>
      <c r="T14" s="330">
        <v>1</v>
      </c>
      <c r="U14" s="330">
        <v>0</v>
      </c>
      <c r="V14" s="330">
        <f t="shared" si="4"/>
        <v>0</v>
      </c>
      <c r="W14" s="330">
        <v>0</v>
      </c>
      <c r="X14" s="330">
        <v>0</v>
      </c>
      <c r="Y14" s="330">
        <v>0</v>
      </c>
      <c r="Z14" s="330">
        <v>0</v>
      </c>
      <c r="AA14" s="330">
        <v>0</v>
      </c>
    </row>
    <row r="15" spans="1:27" s="121" customFormat="1" ht="14.5" customHeight="1">
      <c r="A15" s="541"/>
      <c r="B15" s="450" t="s">
        <v>232</v>
      </c>
      <c r="C15" s="327">
        <f t="shared" si="0"/>
        <v>72</v>
      </c>
      <c r="D15" s="327">
        <f t="shared" si="1"/>
        <v>62</v>
      </c>
      <c r="E15" s="327">
        <v>34</v>
      </c>
      <c r="F15" s="327">
        <v>10</v>
      </c>
      <c r="G15" s="327">
        <v>9</v>
      </c>
      <c r="H15" s="327">
        <v>9</v>
      </c>
      <c r="I15" s="327">
        <v>0</v>
      </c>
      <c r="J15" s="327">
        <f t="shared" si="2"/>
        <v>4</v>
      </c>
      <c r="K15" s="327">
        <v>2</v>
      </c>
      <c r="L15" s="327">
        <v>1</v>
      </c>
      <c r="M15" s="327">
        <v>0</v>
      </c>
      <c r="N15" s="327">
        <v>0</v>
      </c>
      <c r="O15" s="327">
        <v>1</v>
      </c>
      <c r="P15" s="327">
        <f t="shared" si="3"/>
        <v>6</v>
      </c>
      <c r="Q15" s="327">
        <v>3</v>
      </c>
      <c r="R15" s="327">
        <v>0</v>
      </c>
      <c r="S15" s="327">
        <v>2</v>
      </c>
      <c r="T15" s="327">
        <v>1</v>
      </c>
      <c r="U15" s="327">
        <v>0</v>
      </c>
      <c r="V15" s="327">
        <f t="shared" si="4"/>
        <v>0</v>
      </c>
      <c r="W15" s="327">
        <v>0</v>
      </c>
      <c r="X15" s="327">
        <v>0</v>
      </c>
      <c r="Y15" s="327">
        <v>0</v>
      </c>
      <c r="Z15" s="327">
        <v>0</v>
      </c>
      <c r="AA15" s="327">
        <v>0</v>
      </c>
    </row>
    <row r="16" spans="1:27" s="121" customFormat="1" ht="14.5" customHeight="1">
      <c r="A16" s="472"/>
      <c r="B16" s="450" t="s">
        <v>233</v>
      </c>
      <c r="C16" s="327">
        <f t="shared" si="0"/>
        <v>104</v>
      </c>
      <c r="D16" s="327">
        <f t="shared" si="1"/>
        <v>71</v>
      </c>
      <c r="E16" s="327">
        <v>41</v>
      </c>
      <c r="F16" s="327">
        <v>7</v>
      </c>
      <c r="G16" s="327">
        <v>9</v>
      </c>
      <c r="H16" s="327">
        <v>11</v>
      </c>
      <c r="I16" s="327">
        <v>3</v>
      </c>
      <c r="J16" s="327">
        <f t="shared" si="2"/>
        <v>25</v>
      </c>
      <c r="K16" s="327">
        <v>5</v>
      </c>
      <c r="L16" s="327">
        <v>1</v>
      </c>
      <c r="M16" s="327">
        <v>19</v>
      </c>
      <c r="N16" s="327">
        <v>0</v>
      </c>
      <c r="O16" s="327">
        <v>0</v>
      </c>
      <c r="P16" s="327">
        <f t="shared" si="3"/>
        <v>7</v>
      </c>
      <c r="Q16" s="327">
        <v>1</v>
      </c>
      <c r="R16" s="327">
        <v>1</v>
      </c>
      <c r="S16" s="327">
        <v>2</v>
      </c>
      <c r="T16" s="327">
        <v>3</v>
      </c>
      <c r="U16" s="327">
        <v>0</v>
      </c>
      <c r="V16" s="327">
        <f t="shared" si="4"/>
        <v>1</v>
      </c>
      <c r="W16" s="327">
        <v>1</v>
      </c>
      <c r="X16" s="327">
        <v>0</v>
      </c>
      <c r="Y16" s="327">
        <v>0</v>
      </c>
      <c r="Z16" s="327">
        <v>0</v>
      </c>
      <c r="AA16" s="327">
        <v>0</v>
      </c>
    </row>
    <row r="17" spans="1:28" s="121" customFormat="1" ht="14.5" customHeight="1">
      <c r="A17" s="540"/>
      <c r="B17" s="452" t="s">
        <v>234</v>
      </c>
      <c r="C17" s="329">
        <f t="shared" si="0"/>
        <v>97</v>
      </c>
      <c r="D17" s="329">
        <f t="shared" si="1"/>
        <v>74</v>
      </c>
      <c r="E17" s="329">
        <v>46</v>
      </c>
      <c r="F17" s="329">
        <v>7</v>
      </c>
      <c r="G17" s="329">
        <v>13</v>
      </c>
      <c r="H17" s="329">
        <v>8</v>
      </c>
      <c r="I17" s="329">
        <v>0</v>
      </c>
      <c r="J17" s="329">
        <f t="shared" si="2"/>
        <v>11</v>
      </c>
      <c r="K17" s="329">
        <v>7</v>
      </c>
      <c r="L17" s="329">
        <v>1</v>
      </c>
      <c r="M17" s="329">
        <v>3</v>
      </c>
      <c r="N17" s="329">
        <v>0</v>
      </c>
      <c r="O17" s="329">
        <v>0</v>
      </c>
      <c r="P17" s="329">
        <f t="shared" si="3"/>
        <v>12</v>
      </c>
      <c r="Q17" s="329">
        <v>5</v>
      </c>
      <c r="R17" s="329">
        <v>2</v>
      </c>
      <c r="S17" s="329">
        <v>4</v>
      </c>
      <c r="T17" s="329">
        <v>0</v>
      </c>
      <c r="U17" s="329">
        <v>1</v>
      </c>
      <c r="V17" s="329">
        <f t="shared" si="4"/>
        <v>0</v>
      </c>
      <c r="W17" s="329">
        <v>0</v>
      </c>
      <c r="X17" s="329">
        <v>0</v>
      </c>
      <c r="Y17" s="329">
        <v>0</v>
      </c>
      <c r="Z17" s="329">
        <v>0</v>
      </c>
      <c r="AA17" s="329">
        <v>0</v>
      </c>
    </row>
    <row r="18" spans="1:28" s="121" customFormat="1" ht="14.5" customHeight="1">
      <c r="A18" s="471">
        <v>2018</v>
      </c>
      <c r="B18" s="454" t="s">
        <v>231</v>
      </c>
      <c r="C18" s="330">
        <f t="shared" si="0"/>
        <v>92</v>
      </c>
      <c r="D18" s="330">
        <f t="shared" si="1"/>
        <v>72</v>
      </c>
      <c r="E18" s="330">
        <v>41</v>
      </c>
      <c r="F18" s="330">
        <v>13</v>
      </c>
      <c r="G18" s="330">
        <v>12</v>
      </c>
      <c r="H18" s="330">
        <v>4</v>
      </c>
      <c r="I18" s="330">
        <v>2</v>
      </c>
      <c r="J18" s="330">
        <f>SUM(K18:O18)</f>
        <v>14</v>
      </c>
      <c r="K18" s="330">
        <v>3</v>
      </c>
      <c r="L18" s="330">
        <v>2</v>
      </c>
      <c r="M18" s="330">
        <v>7</v>
      </c>
      <c r="N18" s="330">
        <v>0</v>
      </c>
      <c r="O18" s="330">
        <v>2</v>
      </c>
      <c r="P18" s="330">
        <f>SUM(Q18:U18)</f>
        <v>6</v>
      </c>
      <c r="Q18" s="330">
        <v>3</v>
      </c>
      <c r="R18" s="330">
        <v>0</v>
      </c>
      <c r="S18" s="330">
        <v>1</v>
      </c>
      <c r="T18" s="330">
        <v>2</v>
      </c>
      <c r="U18" s="330">
        <v>0</v>
      </c>
      <c r="V18" s="330">
        <f>SUM(W18:AA18)</f>
        <v>0</v>
      </c>
      <c r="W18" s="330">
        <v>0</v>
      </c>
      <c r="X18" s="330">
        <v>0</v>
      </c>
      <c r="Y18" s="330">
        <v>0</v>
      </c>
      <c r="Z18" s="330">
        <v>0</v>
      </c>
      <c r="AA18" s="331">
        <v>0</v>
      </c>
    </row>
    <row r="19" spans="1:28" s="121" customFormat="1" ht="14.5" customHeight="1">
      <c r="A19" s="472"/>
      <c r="B19" s="455" t="s">
        <v>232</v>
      </c>
      <c r="C19" s="327">
        <f>D19+J19+P19+V19</f>
        <v>84</v>
      </c>
      <c r="D19" s="327">
        <f>SUM(E19:I19)</f>
        <v>61</v>
      </c>
      <c r="E19" s="327">
        <v>34</v>
      </c>
      <c r="F19" s="327">
        <v>11</v>
      </c>
      <c r="G19" s="327">
        <v>11</v>
      </c>
      <c r="H19" s="327">
        <v>4</v>
      </c>
      <c r="I19" s="327">
        <v>1</v>
      </c>
      <c r="J19" s="327">
        <f>SUM(K19:O19)</f>
        <v>12</v>
      </c>
      <c r="K19" s="327">
        <v>4</v>
      </c>
      <c r="L19" s="327">
        <v>3</v>
      </c>
      <c r="M19" s="327">
        <v>5</v>
      </c>
      <c r="N19" s="327">
        <v>0</v>
      </c>
      <c r="O19" s="327">
        <v>0</v>
      </c>
      <c r="P19" s="327">
        <f>SUM(Q19:U19)</f>
        <v>11</v>
      </c>
      <c r="Q19" s="327">
        <v>5</v>
      </c>
      <c r="R19" s="327">
        <v>4</v>
      </c>
      <c r="S19" s="327">
        <v>2</v>
      </c>
      <c r="T19" s="327">
        <v>0</v>
      </c>
      <c r="U19" s="327">
        <v>0</v>
      </c>
      <c r="V19" s="327">
        <f>SUM(W19:AA19)</f>
        <v>0</v>
      </c>
      <c r="W19" s="327">
        <v>0</v>
      </c>
      <c r="X19" s="327">
        <v>0</v>
      </c>
      <c r="Y19" s="327">
        <v>0</v>
      </c>
      <c r="Z19" s="327">
        <v>0</v>
      </c>
      <c r="AA19" s="332">
        <v>0</v>
      </c>
    </row>
    <row r="20" spans="1:28" s="121" customFormat="1" ht="14.5" customHeight="1">
      <c r="A20" s="472"/>
      <c r="B20" s="450" t="s">
        <v>233</v>
      </c>
      <c r="C20" s="327">
        <v>110</v>
      </c>
      <c r="D20" s="327">
        <v>83</v>
      </c>
      <c r="E20" s="327">
        <v>52</v>
      </c>
      <c r="F20" s="327">
        <v>15</v>
      </c>
      <c r="G20" s="327">
        <v>13</v>
      </c>
      <c r="H20" s="327">
        <v>2</v>
      </c>
      <c r="I20" s="327">
        <v>1</v>
      </c>
      <c r="J20" s="327">
        <v>16</v>
      </c>
      <c r="K20" s="327">
        <v>6</v>
      </c>
      <c r="L20" s="327">
        <v>5</v>
      </c>
      <c r="M20" s="327">
        <v>5</v>
      </c>
      <c r="N20" s="327">
        <v>0</v>
      </c>
      <c r="O20" s="327">
        <v>0</v>
      </c>
      <c r="P20" s="327">
        <v>11</v>
      </c>
      <c r="Q20" s="327">
        <v>5</v>
      </c>
      <c r="R20" s="327">
        <v>5</v>
      </c>
      <c r="S20" s="327">
        <v>0</v>
      </c>
      <c r="T20" s="327">
        <v>1</v>
      </c>
      <c r="U20" s="327">
        <v>0</v>
      </c>
      <c r="V20" s="327">
        <v>0</v>
      </c>
      <c r="W20" s="327">
        <v>0</v>
      </c>
      <c r="X20" s="327">
        <v>0</v>
      </c>
      <c r="Y20" s="327">
        <v>0</v>
      </c>
      <c r="Z20" s="327">
        <v>0</v>
      </c>
      <c r="AA20" s="332">
        <v>0</v>
      </c>
    </row>
    <row r="21" spans="1:28" s="121" customFormat="1" ht="14.5" customHeight="1">
      <c r="A21" s="473"/>
      <c r="B21" s="452" t="s">
        <v>234</v>
      </c>
      <c r="C21" s="329">
        <v>129</v>
      </c>
      <c r="D21" s="329">
        <v>97</v>
      </c>
      <c r="E21" s="329">
        <v>60</v>
      </c>
      <c r="F21" s="329">
        <v>12</v>
      </c>
      <c r="G21" s="329">
        <v>18</v>
      </c>
      <c r="H21" s="329">
        <v>6</v>
      </c>
      <c r="I21" s="329">
        <v>1</v>
      </c>
      <c r="J21" s="329">
        <v>18</v>
      </c>
      <c r="K21" s="329">
        <v>7</v>
      </c>
      <c r="L21" s="329">
        <v>5</v>
      </c>
      <c r="M21" s="329">
        <v>6</v>
      </c>
      <c r="N21" s="329">
        <v>0</v>
      </c>
      <c r="O21" s="329">
        <v>0</v>
      </c>
      <c r="P21" s="329">
        <v>14</v>
      </c>
      <c r="Q21" s="329">
        <v>6</v>
      </c>
      <c r="R21" s="329">
        <v>3</v>
      </c>
      <c r="S21" s="329">
        <v>1</v>
      </c>
      <c r="T21" s="329">
        <v>4</v>
      </c>
      <c r="U21" s="329">
        <v>0</v>
      </c>
      <c r="V21" s="329">
        <v>0</v>
      </c>
      <c r="W21" s="329">
        <v>0</v>
      </c>
      <c r="X21" s="329">
        <v>0</v>
      </c>
      <c r="Y21" s="329">
        <v>0</v>
      </c>
      <c r="Z21" s="329">
        <v>0</v>
      </c>
      <c r="AA21" s="333">
        <v>0</v>
      </c>
    </row>
    <row r="22" spans="1:28" s="121" customFormat="1" ht="14.5" customHeight="1">
      <c r="A22" s="471">
        <v>2019</v>
      </c>
      <c r="B22" s="454" t="s">
        <v>231</v>
      </c>
      <c r="C22" s="330">
        <f t="shared" ref="C22:C27" si="5">D22+J22+P22+V22</f>
        <v>115</v>
      </c>
      <c r="D22" s="330">
        <f>SUM(E22:I22)</f>
        <v>83</v>
      </c>
      <c r="E22" s="330">
        <v>48</v>
      </c>
      <c r="F22" s="330">
        <v>19</v>
      </c>
      <c r="G22" s="330">
        <v>10</v>
      </c>
      <c r="H22" s="330">
        <v>6</v>
      </c>
      <c r="I22" s="330">
        <v>0</v>
      </c>
      <c r="J22" s="330">
        <f>SUM(K22:O22)</f>
        <v>24</v>
      </c>
      <c r="K22" s="330">
        <v>10</v>
      </c>
      <c r="L22" s="330">
        <v>1</v>
      </c>
      <c r="M22" s="330">
        <v>13</v>
      </c>
      <c r="N22" s="330">
        <v>0</v>
      </c>
      <c r="O22" s="330">
        <v>0</v>
      </c>
      <c r="P22" s="330">
        <f>SUM(Q22:U22)</f>
        <v>8</v>
      </c>
      <c r="Q22" s="330">
        <v>3</v>
      </c>
      <c r="R22" s="330">
        <v>3</v>
      </c>
      <c r="S22" s="330">
        <v>2</v>
      </c>
      <c r="T22" s="330">
        <v>0</v>
      </c>
      <c r="U22" s="330">
        <v>0</v>
      </c>
      <c r="V22" s="330">
        <f>SUM(W22:AA22)</f>
        <v>0</v>
      </c>
      <c r="W22" s="330">
        <v>0</v>
      </c>
      <c r="X22" s="330">
        <v>0</v>
      </c>
      <c r="Y22" s="330">
        <v>0</v>
      </c>
      <c r="Z22" s="330">
        <v>0</v>
      </c>
      <c r="AA22" s="330">
        <v>0</v>
      </c>
    </row>
    <row r="23" spans="1:28" s="121" customFormat="1" ht="14.5" customHeight="1">
      <c r="A23" s="472"/>
      <c r="B23" s="455" t="s">
        <v>232</v>
      </c>
      <c r="C23" s="327">
        <f t="shared" si="5"/>
        <v>123</v>
      </c>
      <c r="D23" s="327">
        <v>103</v>
      </c>
      <c r="E23" s="327">
        <v>53</v>
      </c>
      <c r="F23" s="327">
        <v>20</v>
      </c>
      <c r="G23" s="327">
        <v>25</v>
      </c>
      <c r="H23" s="327">
        <v>3</v>
      </c>
      <c r="I23" s="327">
        <v>2</v>
      </c>
      <c r="J23" s="327">
        <v>8</v>
      </c>
      <c r="K23" s="327">
        <v>4</v>
      </c>
      <c r="L23" s="327">
        <v>1</v>
      </c>
      <c r="M23" s="327">
        <v>3</v>
      </c>
      <c r="N23" s="327">
        <v>0</v>
      </c>
      <c r="O23" s="327">
        <v>0</v>
      </c>
      <c r="P23" s="327">
        <v>12</v>
      </c>
      <c r="Q23" s="327">
        <v>4</v>
      </c>
      <c r="R23" s="327">
        <v>3</v>
      </c>
      <c r="S23" s="327">
        <v>2</v>
      </c>
      <c r="T23" s="327">
        <v>3</v>
      </c>
      <c r="U23" s="327">
        <v>0</v>
      </c>
      <c r="V23" s="327">
        <v>0</v>
      </c>
      <c r="W23" s="327">
        <v>0</v>
      </c>
      <c r="X23" s="327">
        <v>0</v>
      </c>
      <c r="Y23" s="327">
        <v>0</v>
      </c>
      <c r="Z23" s="327">
        <v>0</v>
      </c>
      <c r="AA23" s="327">
        <v>0</v>
      </c>
    </row>
    <row r="24" spans="1:28" s="121" customFormat="1" ht="14.5" customHeight="1">
      <c r="A24" s="472"/>
      <c r="B24" s="455" t="s">
        <v>233</v>
      </c>
      <c r="C24" s="334">
        <f t="shared" si="5"/>
        <v>107</v>
      </c>
      <c r="D24" s="334">
        <f t="shared" ref="D24:D29" si="6">SUM(E24:I24)</f>
        <v>91</v>
      </c>
      <c r="E24" s="334">
        <v>51</v>
      </c>
      <c r="F24" s="334">
        <v>12</v>
      </c>
      <c r="G24" s="327">
        <v>17</v>
      </c>
      <c r="H24" s="334">
        <v>10</v>
      </c>
      <c r="I24" s="327">
        <v>1</v>
      </c>
      <c r="J24" s="327">
        <f t="shared" ref="J24:J47" si="7">SUM(K24:O24)</f>
        <v>3</v>
      </c>
      <c r="K24" s="327">
        <v>2</v>
      </c>
      <c r="L24" s="327">
        <v>1</v>
      </c>
      <c r="M24" s="327">
        <v>0</v>
      </c>
      <c r="N24" s="327">
        <v>0</v>
      </c>
      <c r="O24" s="327">
        <v>0</v>
      </c>
      <c r="P24" s="327">
        <f t="shared" ref="P24:P47" si="8">SUM(Q24:U24)</f>
        <v>13</v>
      </c>
      <c r="Q24" s="327">
        <v>5</v>
      </c>
      <c r="R24" s="327">
        <v>5</v>
      </c>
      <c r="S24" s="327">
        <v>3</v>
      </c>
      <c r="T24" s="327">
        <v>0</v>
      </c>
      <c r="U24" s="327">
        <v>0</v>
      </c>
      <c r="V24" s="327">
        <f t="shared" ref="V24:V47" si="9">SUM(W24:AA24)</f>
        <v>0</v>
      </c>
      <c r="W24" s="327">
        <v>0</v>
      </c>
      <c r="X24" s="327">
        <v>0</v>
      </c>
      <c r="Y24" s="327">
        <v>0</v>
      </c>
      <c r="Z24" s="327">
        <v>0</v>
      </c>
      <c r="AA24" s="327">
        <v>0</v>
      </c>
      <c r="AB24" s="326"/>
    </row>
    <row r="25" spans="1:28" s="121" customFormat="1" ht="14.5" customHeight="1">
      <c r="A25" s="473"/>
      <c r="B25" s="456" t="s">
        <v>234</v>
      </c>
      <c r="C25" s="329">
        <f t="shared" si="5"/>
        <v>111</v>
      </c>
      <c r="D25" s="329">
        <f t="shared" si="6"/>
        <v>89</v>
      </c>
      <c r="E25" s="329">
        <v>38</v>
      </c>
      <c r="F25" s="329">
        <v>20</v>
      </c>
      <c r="G25" s="329">
        <v>19</v>
      </c>
      <c r="H25" s="329">
        <v>12</v>
      </c>
      <c r="I25" s="329">
        <v>0</v>
      </c>
      <c r="J25" s="329">
        <f t="shared" si="7"/>
        <v>8</v>
      </c>
      <c r="K25" s="329">
        <v>5</v>
      </c>
      <c r="L25" s="329">
        <v>2</v>
      </c>
      <c r="M25" s="329">
        <v>1</v>
      </c>
      <c r="N25" s="329">
        <v>0</v>
      </c>
      <c r="O25" s="329">
        <v>0</v>
      </c>
      <c r="P25" s="329">
        <f t="shared" si="8"/>
        <v>14</v>
      </c>
      <c r="Q25" s="329">
        <v>7</v>
      </c>
      <c r="R25" s="329">
        <v>5</v>
      </c>
      <c r="S25" s="329">
        <v>1</v>
      </c>
      <c r="T25" s="329">
        <v>1</v>
      </c>
      <c r="U25" s="329">
        <v>0</v>
      </c>
      <c r="V25" s="329">
        <f t="shared" si="9"/>
        <v>0</v>
      </c>
      <c r="W25" s="329">
        <v>0</v>
      </c>
      <c r="X25" s="329">
        <v>0</v>
      </c>
      <c r="Y25" s="329">
        <v>0</v>
      </c>
      <c r="Z25" s="329">
        <v>0</v>
      </c>
      <c r="AA25" s="329">
        <v>0</v>
      </c>
    </row>
    <row r="26" spans="1:28" s="121" customFormat="1" ht="14.5" customHeight="1">
      <c r="A26" s="471">
        <v>2020</v>
      </c>
      <c r="B26" s="454" t="s">
        <v>231</v>
      </c>
      <c r="C26" s="330">
        <f t="shared" si="5"/>
        <v>76</v>
      </c>
      <c r="D26" s="330">
        <f t="shared" si="6"/>
        <v>61</v>
      </c>
      <c r="E26" s="330">
        <v>20</v>
      </c>
      <c r="F26" s="330">
        <v>19</v>
      </c>
      <c r="G26" s="330">
        <v>9</v>
      </c>
      <c r="H26" s="330">
        <v>13</v>
      </c>
      <c r="I26" s="330">
        <v>0</v>
      </c>
      <c r="J26" s="330">
        <f t="shared" si="7"/>
        <v>4</v>
      </c>
      <c r="K26" s="330">
        <v>1</v>
      </c>
      <c r="L26" s="330">
        <v>1</v>
      </c>
      <c r="M26" s="330">
        <v>2</v>
      </c>
      <c r="N26" s="330">
        <v>0</v>
      </c>
      <c r="O26" s="330">
        <v>0</v>
      </c>
      <c r="P26" s="330">
        <f t="shared" si="8"/>
        <v>11</v>
      </c>
      <c r="Q26" s="330">
        <v>2</v>
      </c>
      <c r="R26" s="330">
        <v>5</v>
      </c>
      <c r="S26" s="330">
        <v>3</v>
      </c>
      <c r="T26" s="330">
        <v>1</v>
      </c>
      <c r="U26" s="330">
        <v>0</v>
      </c>
      <c r="V26" s="330">
        <f t="shared" si="9"/>
        <v>0</v>
      </c>
      <c r="W26" s="330">
        <v>0</v>
      </c>
      <c r="X26" s="330">
        <v>0</v>
      </c>
      <c r="Y26" s="330">
        <v>0</v>
      </c>
      <c r="Z26" s="330">
        <v>0</v>
      </c>
      <c r="AA26" s="330">
        <v>0</v>
      </c>
    </row>
    <row r="27" spans="1:28" s="121" customFormat="1" ht="14.5" customHeight="1">
      <c r="A27" s="472"/>
      <c r="B27" s="455" t="s">
        <v>232</v>
      </c>
      <c r="C27" s="327">
        <f t="shared" si="5"/>
        <v>115</v>
      </c>
      <c r="D27" s="327">
        <f t="shared" si="6"/>
        <v>98</v>
      </c>
      <c r="E27" s="327">
        <v>40</v>
      </c>
      <c r="F27" s="327">
        <v>27</v>
      </c>
      <c r="G27" s="327">
        <v>17</v>
      </c>
      <c r="H27" s="327">
        <v>11</v>
      </c>
      <c r="I27" s="327">
        <v>3</v>
      </c>
      <c r="J27" s="327">
        <f t="shared" si="7"/>
        <v>9</v>
      </c>
      <c r="K27" s="327">
        <v>6</v>
      </c>
      <c r="L27" s="327">
        <v>2</v>
      </c>
      <c r="M27" s="327">
        <v>0</v>
      </c>
      <c r="N27" s="327">
        <v>0</v>
      </c>
      <c r="O27" s="327">
        <v>1</v>
      </c>
      <c r="P27" s="327">
        <f t="shared" si="8"/>
        <v>7</v>
      </c>
      <c r="Q27" s="327">
        <v>3</v>
      </c>
      <c r="R27" s="327">
        <v>1</v>
      </c>
      <c r="S27" s="327">
        <v>2</v>
      </c>
      <c r="T27" s="327">
        <v>1</v>
      </c>
      <c r="U27" s="327">
        <v>0</v>
      </c>
      <c r="V27" s="327">
        <f t="shared" si="9"/>
        <v>1</v>
      </c>
      <c r="W27" s="327">
        <v>1</v>
      </c>
      <c r="X27" s="327">
        <v>0</v>
      </c>
      <c r="Y27" s="327">
        <v>0</v>
      </c>
      <c r="Z27" s="327">
        <v>0</v>
      </c>
      <c r="AA27" s="327">
        <v>0</v>
      </c>
    </row>
    <row r="28" spans="1:28" s="121" customFormat="1" ht="14.5" customHeight="1">
      <c r="A28" s="472"/>
      <c r="B28" s="455" t="s">
        <v>233</v>
      </c>
      <c r="C28" s="327">
        <f t="shared" ref="C28:C38" si="10">D28+J28+P28+V28</f>
        <v>182</v>
      </c>
      <c r="D28" s="327">
        <f t="shared" si="6"/>
        <v>143</v>
      </c>
      <c r="E28" s="327">
        <v>81</v>
      </c>
      <c r="F28" s="327">
        <v>24</v>
      </c>
      <c r="G28" s="327">
        <v>26</v>
      </c>
      <c r="H28" s="327">
        <v>7</v>
      </c>
      <c r="I28" s="327">
        <v>5</v>
      </c>
      <c r="J28" s="327">
        <f t="shared" si="7"/>
        <v>13</v>
      </c>
      <c r="K28" s="327">
        <v>9</v>
      </c>
      <c r="L28" s="327">
        <v>3</v>
      </c>
      <c r="M28" s="327">
        <v>0</v>
      </c>
      <c r="N28" s="327">
        <v>0</v>
      </c>
      <c r="O28" s="327">
        <v>1</v>
      </c>
      <c r="P28" s="327">
        <f t="shared" si="8"/>
        <v>25</v>
      </c>
      <c r="Q28" s="327">
        <v>8</v>
      </c>
      <c r="R28" s="327">
        <v>8</v>
      </c>
      <c r="S28" s="327">
        <v>5</v>
      </c>
      <c r="T28" s="327">
        <v>4</v>
      </c>
      <c r="U28" s="327">
        <v>0</v>
      </c>
      <c r="V28" s="327">
        <f t="shared" si="9"/>
        <v>1</v>
      </c>
      <c r="W28" s="327">
        <v>0</v>
      </c>
      <c r="X28" s="327">
        <v>0</v>
      </c>
      <c r="Y28" s="327">
        <v>0</v>
      </c>
      <c r="Z28" s="327">
        <v>0</v>
      </c>
      <c r="AA28" s="327">
        <v>1</v>
      </c>
    </row>
    <row r="29" spans="1:28" s="121" customFormat="1" ht="14.5" customHeight="1">
      <c r="A29" s="473"/>
      <c r="B29" s="456" t="s">
        <v>234</v>
      </c>
      <c r="C29" s="329">
        <f t="shared" si="10"/>
        <v>131</v>
      </c>
      <c r="D29" s="329">
        <f t="shared" si="6"/>
        <v>108</v>
      </c>
      <c r="E29" s="329">
        <v>60</v>
      </c>
      <c r="F29" s="329">
        <v>24</v>
      </c>
      <c r="G29" s="329">
        <v>19</v>
      </c>
      <c r="H29" s="329">
        <v>4</v>
      </c>
      <c r="I29" s="329">
        <v>1</v>
      </c>
      <c r="J29" s="329">
        <f t="shared" si="7"/>
        <v>10</v>
      </c>
      <c r="K29" s="329">
        <v>7</v>
      </c>
      <c r="L29" s="329">
        <v>0</v>
      </c>
      <c r="M29" s="329">
        <v>2</v>
      </c>
      <c r="N29" s="329">
        <v>0</v>
      </c>
      <c r="O29" s="329">
        <v>1</v>
      </c>
      <c r="P29" s="329">
        <f t="shared" si="8"/>
        <v>11</v>
      </c>
      <c r="Q29" s="329">
        <v>3</v>
      </c>
      <c r="R29" s="329">
        <v>2</v>
      </c>
      <c r="S29" s="329">
        <v>3</v>
      </c>
      <c r="T29" s="329">
        <v>1</v>
      </c>
      <c r="U29" s="329">
        <v>2</v>
      </c>
      <c r="V29" s="329">
        <f t="shared" si="9"/>
        <v>2</v>
      </c>
      <c r="W29" s="329">
        <v>0</v>
      </c>
      <c r="X29" s="329">
        <v>0</v>
      </c>
      <c r="Y29" s="329">
        <v>0</v>
      </c>
      <c r="Z29" s="329">
        <v>0</v>
      </c>
      <c r="AA29" s="329">
        <v>2</v>
      </c>
    </row>
    <row r="30" spans="1:28" s="121" customFormat="1" ht="14.5" customHeight="1">
      <c r="A30" s="471">
        <v>2021</v>
      </c>
      <c r="B30" s="454" t="s">
        <v>231</v>
      </c>
      <c r="C30" s="330">
        <f t="shared" si="10"/>
        <v>112</v>
      </c>
      <c r="D30" s="330">
        <f t="shared" ref="D30:D38" si="11">SUM(E30:I30)</f>
        <v>90</v>
      </c>
      <c r="E30" s="330">
        <v>55</v>
      </c>
      <c r="F30" s="330">
        <v>16</v>
      </c>
      <c r="G30" s="330">
        <v>8</v>
      </c>
      <c r="H30" s="330">
        <v>8</v>
      </c>
      <c r="I30" s="330">
        <v>3</v>
      </c>
      <c r="J30" s="330">
        <f t="shared" si="7"/>
        <v>9</v>
      </c>
      <c r="K30" s="330">
        <v>5</v>
      </c>
      <c r="L30" s="330">
        <v>4</v>
      </c>
      <c r="M30" s="330">
        <v>0</v>
      </c>
      <c r="N30" s="330">
        <v>0</v>
      </c>
      <c r="O30" s="330">
        <v>0</v>
      </c>
      <c r="P30" s="330">
        <f t="shared" si="8"/>
        <v>11</v>
      </c>
      <c r="Q30" s="330">
        <v>6</v>
      </c>
      <c r="R30" s="330">
        <v>3</v>
      </c>
      <c r="S30" s="330">
        <v>1</v>
      </c>
      <c r="T30" s="330">
        <v>1</v>
      </c>
      <c r="U30" s="330">
        <v>0</v>
      </c>
      <c r="V30" s="330">
        <f t="shared" si="9"/>
        <v>2</v>
      </c>
      <c r="W30" s="330">
        <v>2</v>
      </c>
      <c r="X30" s="330">
        <v>0</v>
      </c>
      <c r="Y30" s="330">
        <v>0</v>
      </c>
      <c r="Z30" s="330">
        <v>0</v>
      </c>
      <c r="AA30" s="330">
        <v>0</v>
      </c>
    </row>
    <row r="31" spans="1:28" s="121" customFormat="1" ht="14.5" customHeight="1">
      <c r="A31" s="472"/>
      <c r="B31" s="455" t="s">
        <v>232</v>
      </c>
      <c r="C31" s="593">
        <f t="shared" si="10"/>
        <v>103</v>
      </c>
      <c r="D31" s="593">
        <f t="shared" si="11"/>
        <v>80</v>
      </c>
      <c r="E31" s="593">
        <v>54</v>
      </c>
      <c r="F31" s="593">
        <v>14</v>
      </c>
      <c r="G31" s="594">
        <v>6</v>
      </c>
      <c r="H31" s="594">
        <v>4</v>
      </c>
      <c r="I31" s="594">
        <v>2</v>
      </c>
      <c r="J31" s="594">
        <f t="shared" si="7"/>
        <v>6</v>
      </c>
      <c r="K31" s="594">
        <v>3</v>
      </c>
      <c r="L31" s="594">
        <v>2</v>
      </c>
      <c r="M31" s="594">
        <v>0</v>
      </c>
      <c r="N31" s="594">
        <v>1</v>
      </c>
      <c r="O31" s="594">
        <v>0</v>
      </c>
      <c r="P31" s="594">
        <f t="shared" si="8"/>
        <v>16</v>
      </c>
      <c r="Q31" s="594">
        <v>10</v>
      </c>
      <c r="R31" s="594">
        <v>4</v>
      </c>
      <c r="S31" s="594">
        <v>1</v>
      </c>
      <c r="T31" s="594">
        <v>0</v>
      </c>
      <c r="U31" s="594">
        <v>1</v>
      </c>
      <c r="V31" s="594">
        <f t="shared" si="9"/>
        <v>1</v>
      </c>
      <c r="W31" s="594">
        <v>1</v>
      </c>
      <c r="X31" s="594">
        <v>0</v>
      </c>
      <c r="Y31" s="594">
        <v>0</v>
      </c>
      <c r="Z31" s="594">
        <v>0</v>
      </c>
      <c r="AA31" s="594">
        <v>0</v>
      </c>
    </row>
    <row r="32" spans="1:28" s="121" customFormat="1" ht="14.5" customHeight="1">
      <c r="A32" s="449"/>
      <c r="B32" s="455" t="s">
        <v>233</v>
      </c>
      <c r="C32" s="593">
        <f t="shared" si="10"/>
        <v>130</v>
      </c>
      <c r="D32" s="593">
        <f t="shared" si="11"/>
        <v>114</v>
      </c>
      <c r="E32" s="593">
        <v>74</v>
      </c>
      <c r="F32" s="594">
        <v>23</v>
      </c>
      <c r="G32" s="594">
        <v>12</v>
      </c>
      <c r="H32" s="593">
        <v>5</v>
      </c>
      <c r="I32" s="594">
        <v>0</v>
      </c>
      <c r="J32" s="594">
        <f t="shared" si="7"/>
        <v>8</v>
      </c>
      <c r="K32" s="594">
        <v>6</v>
      </c>
      <c r="L32" s="594">
        <v>0</v>
      </c>
      <c r="M32" s="594">
        <v>2</v>
      </c>
      <c r="N32" s="594">
        <v>0</v>
      </c>
      <c r="O32" s="594">
        <v>0</v>
      </c>
      <c r="P32" s="594">
        <f t="shared" si="8"/>
        <v>8</v>
      </c>
      <c r="Q32" s="594">
        <v>2</v>
      </c>
      <c r="R32" s="594">
        <v>5</v>
      </c>
      <c r="S32" s="594">
        <v>1</v>
      </c>
      <c r="T32" s="594">
        <v>0</v>
      </c>
      <c r="U32" s="594">
        <v>0</v>
      </c>
      <c r="V32" s="594">
        <f t="shared" si="9"/>
        <v>0</v>
      </c>
      <c r="W32" s="594">
        <v>0</v>
      </c>
      <c r="X32" s="594">
        <v>0</v>
      </c>
      <c r="Y32" s="594">
        <v>0</v>
      </c>
      <c r="Z32" s="594">
        <v>0</v>
      </c>
      <c r="AA32" s="594">
        <v>0</v>
      </c>
    </row>
    <row r="33" spans="1:27" s="121" customFormat="1" ht="14.5" customHeight="1">
      <c r="A33" s="451"/>
      <c r="B33" s="456" t="s">
        <v>234</v>
      </c>
      <c r="C33" s="595">
        <f t="shared" si="10"/>
        <v>128</v>
      </c>
      <c r="D33" s="595">
        <f t="shared" si="11"/>
        <v>102</v>
      </c>
      <c r="E33" s="595">
        <v>60</v>
      </c>
      <c r="F33" s="596">
        <v>13</v>
      </c>
      <c r="G33" s="596">
        <v>20</v>
      </c>
      <c r="H33" s="596">
        <v>7</v>
      </c>
      <c r="I33" s="596">
        <v>2</v>
      </c>
      <c r="J33" s="596">
        <f t="shared" si="7"/>
        <v>14</v>
      </c>
      <c r="K33" s="596">
        <v>11</v>
      </c>
      <c r="L33" s="596">
        <v>1</v>
      </c>
      <c r="M33" s="596">
        <v>2</v>
      </c>
      <c r="N33" s="596">
        <v>0</v>
      </c>
      <c r="O33" s="596">
        <v>0</v>
      </c>
      <c r="P33" s="596">
        <f t="shared" si="8"/>
        <v>12</v>
      </c>
      <c r="Q33" s="596">
        <v>9</v>
      </c>
      <c r="R33" s="596">
        <v>1</v>
      </c>
      <c r="S33" s="596">
        <v>2</v>
      </c>
      <c r="T33" s="596">
        <v>0</v>
      </c>
      <c r="U33" s="596">
        <v>0</v>
      </c>
      <c r="V33" s="596">
        <f t="shared" si="9"/>
        <v>0</v>
      </c>
      <c r="W33" s="596">
        <v>0</v>
      </c>
      <c r="X33" s="597">
        <v>0</v>
      </c>
      <c r="Y33" s="596">
        <v>0</v>
      </c>
      <c r="Z33" s="598">
        <v>0</v>
      </c>
      <c r="AA33" s="596">
        <v>0</v>
      </c>
    </row>
    <row r="34" spans="1:27" s="121" customFormat="1" ht="14.5" customHeight="1">
      <c r="A34" s="471">
        <v>2022</v>
      </c>
      <c r="B34" s="454" t="s">
        <v>231</v>
      </c>
      <c r="C34" s="599">
        <f t="shared" si="10"/>
        <v>124</v>
      </c>
      <c r="D34" s="599">
        <f t="shared" si="11"/>
        <v>100</v>
      </c>
      <c r="E34" s="599">
        <v>66</v>
      </c>
      <c r="F34" s="599">
        <v>11</v>
      </c>
      <c r="G34" s="599">
        <v>20</v>
      </c>
      <c r="H34" s="599">
        <v>3</v>
      </c>
      <c r="I34" s="599">
        <v>0</v>
      </c>
      <c r="J34" s="599">
        <f t="shared" si="7"/>
        <v>6</v>
      </c>
      <c r="K34" s="599">
        <v>5</v>
      </c>
      <c r="L34" s="599">
        <v>0</v>
      </c>
      <c r="M34" s="599">
        <v>0</v>
      </c>
      <c r="N34" s="599">
        <v>1</v>
      </c>
      <c r="O34" s="599">
        <v>0</v>
      </c>
      <c r="P34" s="599">
        <f t="shared" si="8"/>
        <v>17</v>
      </c>
      <c r="Q34" s="599">
        <v>10</v>
      </c>
      <c r="R34" s="599">
        <v>5</v>
      </c>
      <c r="S34" s="599">
        <v>2</v>
      </c>
      <c r="T34" s="599">
        <v>0</v>
      </c>
      <c r="U34" s="599">
        <v>0</v>
      </c>
      <c r="V34" s="599">
        <f t="shared" si="9"/>
        <v>1</v>
      </c>
      <c r="W34" s="599">
        <v>1</v>
      </c>
      <c r="X34" s="599">
        <v>0</v>
      </c>
      <c r="Y34" s="599">
        <v>0</v>
      </c>
      <c r="Z34" s="599">
        <v>0</v>
      </c>
      <c r="AA34" s="599">
        <v>0</v>
      </c>
    </row>
    <row r="35" spans="1:27" s="121" customFormat="1" ht="14.5" customHeight="1">
      <c r="A35" s="472"/>
      <c r="B35" s="455" t="s">
        <v>232</v>
      </c>
      <c r="C35" s="594">
        <f t="shared" si="10"/>
        <v>130</v>
      </c>
      <c r="D35" s="594">
        <f t="shared" si="11"/>
        <v>106</v>
      </c>
      <c r="E35" s="594">
        <v>57</v>
      </c>
      <c r="F35" s="594">
        <v>19</v>
      </c>
      <c r="G35" s="594">
        <v>22</v>
      </c>
      <c r="H35" s="594">
        <v>5</v>
      </c>
      <c r="I35" s="594">
        <v>3</v>
      </c>
      <c r="J35" s="594">
        <f t="shared" si="7"/>
        <v>13</v>
      </c>
      <c r="K35" s="594">
        <v>10</v>
      </c>
      <c r="L35" s="594">
        <v>2</v>
      </c>
      <c r="M35" s="594">
        <v>1</v>
      </c>
      <c r="N35" s="594">
        <v>0</v>
      </c>
      <c r="O35" s="594">
        <v>0</v>
      </c>
      <c r="P35" s="594">
        <f t="shared" si="8"/>
        <v>11</v>
      </c>
      <c r="Q35" s="594">
        <v>4</v>
      </c>
      <c r="R35" s="594">
        <v>3</v>
      </c>
      <c r="S35" s="594">
        <v>2</v>
      </c>
      <c r="T35" s="594">
        <v>2</v>
      </c>
      <c r="U35" s="594">
        <v>0</v>
      </c>
      <c r="V35" s="594">
        <f t="shared" si="9"/>
        <v>0</v>
      </c>
      <c r="W35" s="594">
        <v>0</v>
      </c>
      <c r="X35" s="594">
        <v>0</v>
      </c>
      <c r="Y35" s="594">
        <v>0</v>
      </c>
      <c r="Z35" s="594">
        <v>0</v>
      </c>
      <c r="AA35" s="594">
        <v>0</v>
      </c>
    </row>
    <row r="36" spans="1:27" s="121" customFormat="1" ht="14.5" customHeight="1">
      <c r="A36" s="472"/>
      <c r="B36" s="455" t="s">
        <v>233</v>
      </c>
      <c r="C36" s="594">
        <f t="shared" si="10"/>
        <v>135</v>
      </c>
      <c r="D36" s="594">
        <f t="shared" si="11"/>
        <v>109</v>
      </c>
      <c r="E36" s="594">
        <v>63</v>
      </c>
      <c r="F36" s="594">
        <v>16</v>
      </c>
      <c r="G36" s="594">
        <v>28</v>
      </c>
      <c r="H36" s="594">
        <v>2</v>
      </c>
      <c r="I36" s="594">
        <v>0</v>
      </c>
      <c r="J36" s="594">
        <f t="shared" si="7"/>
        <v>15</v>
      </c>
      <c r="K36" s="594">
        <v>11</v>
      </c>
      <c r="L36" s="594">
        <v>2</v>
      </c>
      <c r="M36" s="594">
        <v>2</v>
      </c>
      <c r="N36" s="594">
        <v>0</v>
      </c>
      <c r="O36" s="594">
        <v>0</v>
      </c>
      <c r="P36" s="594">
        <f t="shared" si="8"/>
        <v>11</v>
      </c>
      <c r="Q36" s="594">
        <v>5</v>
      </c>
      <c r="R36" s="594">
        <v>5</v>
      </c>
      <c r="S36" s="594">
        <v>1</v>
      </c>
      <c r="T36" s="594">
        <v>0</v>
      </c>
      <c r="U36" s="594">
        <v>0</v>
      </c>
      <c r="V36" s="594">
        <f t="shared" si="9"/>
        <v>0</v>
      </c>
      <c r="W36" s="594">
        <v>0</v>
      </c>
      <c r="X36" s="594">
        <v>0</v>
      </c>
      <c r="Y36" s="594">
        <v>0</v>
      </c>
      <c r="Z36" s="594">
        <v>0</v>
      </c>
      <c r="AA36" s="594">
        <v>0</v>
      </c>
    </row>
    <row r="37" spans="1:27" s="121" customFormat="1" ht="14.5" customHeight="1">
      <c r="A37" s="473"/>
      <c r="B37" s="456" t="s">
        <v>234</v>
      </c>
      <c r="C37" s="596">
        <f t="shared" si="10"/>
        <v>135</v>
      </c>
      <c r="D37" s="596">
        <f t="shared" si="11"/>
        <v>101</v>
      </c>
      <c r="E37" s="596">
        <v>65</v>
      </c>
      <c r="F37" s="596">
        <v>14</v>
      </c>
      <c r="G37" s="596">
        <v>15</v>
      </c>
      <c r="H37" s="596">
        <v>6</v>
      </c>
      <c r="I37" s="596">
        <v>1</v>
      </c>
      <c r="J37" s="596">
        <f t="shared" si="7"/>
        <v>10</v>
      </c>
      <c r="K37" s="596">
        <v>8</v>
      </c>
      <c r="L37" s="596">
        <v>0</v>
      </c>
      <c r="M37" s="596">
        <v>2</v>
      </c>
      <c r="N37" s="596">
        <v>0</v>
      </c>
      <c r="O37" s="596">
        <v>0</v>
      </c>
      <c r="P37" s="596">
        <f t="shared" si="8"/>
        <v>24</v>
      </c>
      <c r="Q37" s="596">
        <v>13</v>
      </c>
      <c r="R37" s="596">
        <v>3</v>
      </c>
      <c r="S37" s="596">
        <v>7</v>
      </c>
      <c r="T37" s="596">
        <v>1</v>
      </c>
      <c r="U37" s="596">
        <v>0</v>
      </c>
      <c r="V37" s="596">
        <f t="shared" si="9"/>
        <v>0</v>
      </c>
      <c r="W37" s="596">
        <v>0</v>
      </c>
      <c r="X37" s="596">
        <v>0</v>
      </c>
      <c r="Y37" s="596">
        <v>0</v>
      </c>
      <c r="Z37" s="596">
        <v>0</v>
      </c>
      <c r="AA37" s="596">
        <v>0</v>
      </c>
    </row>
    <row r="38" spans="1:27" s="121" customFormat="1" ht="14.5" customHeight="1">
      <c r="A38" s="471">
        <v>2023</v>
      </c>
      <c r="B38" s="454" t="s">
        <v>231</v>
      </c>
      <c r="C38" s="599">
        <f t="shared" si="10"/>
        <v>122</v>
      </c>
      <c r="D38" s="599">
        <f t="shared" si="11"/>
        <v>93</v>
      </c>
      <c r="E38" s="599">
        <v>57</v>
      </c>
      <c r="F38" s="599">
        <v>6</v>
      </c>
      <c r="G38" s="599">
        <v>25</v>
      </c>
      <c r="H38" s="599">
        <v>2</v>
      </c>
      <c r="I38" s="599">
        <v>3</v>
      </c>
      <c r="J38" s="599">
        <f t="shared" si="7"/>
        <v>11</v>
      </c>
      <c r="K38" s="599">
        <v>7</v>
      </c>
      <c r="L38" s="599">
        <v>4</v>
      </c>
      <c r="M38" s="599">
        <v>0</v>
      </c>
      <c r="N38" s="599">
        <v>0</v>
      </c>
      <c r="O38" s="599">
        <v>0</v>
      </c>
      <c r="P38" s="599">
        <f t="shared" si="8"/>
        <v>18</v>
      </c>
      <c r="Q38" s="599">
        <v>13</v>
      </c>
      <c r="R38" s="599">
        <v>3</v>
      </c>
      <c r="S38" s="599">
        <v>1</v>
      </c>
      <c r="T38" s="599">
        <v>1</v>
      </c>
      <c r="U38" s="599">
        <v>0</v>
      </c>
      <c r="V38" s="599">
        <f t="shared" si="9"/>
        <v>0</v>
      </c>
      <c r="W38" s="599">
        <v>0</v>
      </c>
      <c r="X38" s="599">
        <v>0</v>
      </c>
      <c r="Y38" s="599">
        <v>0</v>
      </c>
      <c r="Z38" s="599">
        <v>0</v>
      </c>
      <c r="AA38" s="599">
        <v>0</v>
      </c>
    </row>
    <row r="39" spans="1:27" s="121" customFormat="1" ht="14.5" customHeight="1">
      <c r="A39" s="472"/>
      <c r="B39" s="455" t="s">
        <v>232</v>
      </c>
      <c r="C39" s="594">
        <f t="shared" ref="C39" si="12">D39+J39+P39+V39</f>
        <v>129</v>
      </c>
      <c r="D39" s="594">
        <f t="shared" ref="D39" si="13">SUM(E39:I39)</f>
        <v>108</v>
      </c>
      <c r="E39" s="594">
        <v>50</v>
      </c>
      <c r="F39" s="594">
        <v>24</v>
      </c>
      <c r="G39" s="594">
        <v>31</v>
      </c>
      <c r="H39" s="594">
        <v>2</v>
      </c>
      <c r="I39" s="594">
        <v>1</v>
      </c>
      <c r="J39" s="594">
        <f t="shared" si="7"/>
        <v>8</v>
      </c>
      <c r="K39" s="594">
        <v>6</v>
      </c>
      <c r="L39" s="594">
        <v>1</v>
      </c>
      <c r="M39" s="594">
        <v>1</v>
      </c>
      <c r="N39" s="594">
        <v>0</v>
      </c>
      <c r="O39" s="594">
        <v>0</v>
      </c>
      <c r="P39" s="594">
        <f t="shared" si="8"/>
        <v>12</v>
      </c>
      <c r="Q39" s="594">
        <v>8</v>
      </c>
      <c r="R39" s="594">
        <v>2</v>
      </c>
      <c r="S39" s="594">
        <v>1</v>
      </c>
      <c r="T39" s="594">
        <v>1</v>
      </c>
      <c r="U39" s="594">
        <v>0</v>
      </c>
      <c r="V39" s="594">
        <f t="shared" si="9"/>
        <v>1</v>
      </c>
      <c r="W39" s="594">
        <v>1</v>
      </c>
      <c r="X39" s="594">
        <v>0</v>
      </c>
      <c r="Y39" s="594">
        <v>0</v>
      </c>
      <c r="Z39" s="594">
        <v>0</v>
      </c>
      <c r="AA39" s="594">
        <v>0</v>
      </c>
    </row>
    <row r="40" spans="1:27" s="121" customFormat="1" ht="14.5" customHeight="1">
      <c r="A40" s="472"/>
      <c r="B40" s="455" t="s">
        <v>233</v>
      </c>
      <c r="C40" s="594">
        <f t="shared" ref="C40" si="14">D40+J40+P40+V40</f>
        <v>100</v>
      </c>
      <c r="D40" s="594">
        <f t="shared" ref="D40" si="15">SUM(E40:I40)</f>
        <v>75</v>
      </c>
      <c r="E40" s="594">
        <v>42</v>
      </c>
      <c r="F40" s="594">
        <v>14</v>
      </c>
      <c r="G40" s="594">
        <v>17</v>
      </c>
      <c r="H40" s="594">
        <v>2</v>
      </c>
      <c r="I40" s="594">
        <v>0</v>
      </c>
      <c r="J40" s="594">
        <f t="shared" si="7"/>
        <v>16</v>
      </c>
      <c r="K40" s="594">
        <v>12</v>
      </c>
      <c r="L40" s="594">
        <v>3</v>
      </c>
      <c r="M40" s="594">
        <v>1</v>
      </c>
      <c r="N40" s="594">
        <v>0</v>
      </c>
      <c r="O40" s="594">
        <v>0</v>
      </c>
      <c r="P40" s="594">
        <f t="shared" si="8"/>
        <v>9</v>
      </c>
      <c r="Q40" s="594">
        <v>5</v>
      </c>
      <c r="R40" s="594">
        <v>3</v>
      </c>
      <c r="S40" s="594">
        <v>0</v>
      </c>
      <c r="T40" s="594">
        <v>1</v>
      </c>
      <c r="U40" s="594">
        <v>0</v>
      </c>
      <c r="V40" s="594">
        <f t="shared" si="9"/>
        <v>0</v>
      </c>
      <c r="W40" s="594">
        <v>0</v>
      </c>
      <c r="X40" s="594">
        <v>0</v>
      </c>
      <c r="Y40" s="594">
        <v>0</v>
      </c>
      <c r="Z40" s="594">
        <v>0</v>
      </c>
      <c r="AA40" s="594">
        <v>0</v>
      </c>
    </row>
    <row r="41" spans="1:27" s="121" customFormat="1" ht="14.5" customHeight="1">
      <c r="A41" s="473"/>
      <c r="B41" s="456" t="s">
        <v>234</v>
      </c>
      <c r="C41" s="596">
        <f t="shared" ref="C41" si="16">D41+J41+P41+V41</f>
        <v>137</v>
      </c>
      <c r="D41" s="596">
        <f t="shared" ref="D41" si="17">SUM(E41:I41)</f>
        <v>111</v>
      </c>
      <c r="E41" s="596">
        <v>71</v>
      </c>
      <c r="F41" s="596">
        <v>12</v>
      </c>
      <c r="G41" s="596">
        <v>26</v>
      </c>
      <c r="H41" s="596">
        <v>2</v>
      </c>
      <c r="I41" s="596">
        <v>0</v>
      </c>
      <c r="J41" s="596">
        <f t="shared" si="7"/>
        <v>14</v>
      </c>
      <c r="K41" s="596">
        <v>9</v>
      </c>
      <c r="L41" s="596">
        <v>4</v>
      </c>
      <c r="M41" s="596">
        <v>1</v>
      </c>
      <c r="N41" s="596">
        <v>0</v>
      </c>
      <c r="O41" s="596">
        <v>0</v>
      </c>
      <c r="P41" s="596">
        <f t="shared" si="8"/>
        <v>12</v>
      </c>
      <c r="Q41" s="596">
        <v>6</v>
      </c>
      <c r="R41" s="596">
        <v>4</v>
      </c>
      <c r="S41" s="596">
        <v>1</v>
      </c>
      <c r="T41" s="596">
        <v>1</v>
      </c>
      <c r="U41" s="596">
        <v>0</v>
      </c>
      <c r="V41" s="596">
        <f t="shared" si="9"/>
        <v>0</v>
      </c>
      <c r="W41" s="596">
        <v>0</v>
      </c>
      <c r="X41" s="596">
        <v>0</v>
      </c>
      <c r="Y41" s="596">
        <v>0</v>
      </c>
      <c r="Z41" s="596">
        <v>0</v>
      </c>
      <c r="AA41" s="596">
        <v>0</v>
      </c>
    </row>
    <row r="42" spans="1:27" s="121" customFormat="1" ht="14.5" customHeight="1">
      <c r="A42" s="471">
        <v>2024</v>
      </c>
      <c r="B42" s="454" t="s">
        <v>231</v>
      </c>
      <c r="C42" s="599">
        <f t="shared" ref="C42" si="18">D42+J42+P42+V42</f>
        <v>81</v>
      </c>
      <c r="D42" s="599">
        <f t="shared" ref="D42" si="19">SUM(E42:I42)</f>
        <v>66</v>
      </c>
      <c r="E42" s="599">
        <v>34</v>
      </c>
      <c r="F42" s="599">
        <v>13</v>
      </c>
      <c r="G42" s="599">
        <v>17</v>
      </c>
      <c r="H42" s="599">
        <v>2</v>
      </c>
      <c r="I42" s="599">
        <v>0</v>
      </c>
      <c r="J42" s="599">
        <f t="shared" si="7"/>
        <v>9</v>
      </c>
      <c r="K42" s="599">
        <v>8</v>
      </c>
      <c r="L42" s="599">
        <v>0</v>
      </c>
      <c r="M42" s="599">
        <v>1</v>
      </c>
      <c r="N42" s="599">
        <v>0</v>
      </c>
      <c r="O42" s="599">
        <v>0</v>
      </c>
      <c r="P42" s="599">
        <f t="shared" si="8"/>
        <v>6</v>
      </c>
      <c r="Q42" s="599">
        <v>3</v>
      </c>
      <c r="R42" s="599">
        <v>1</v>
      </c>
      <c r="S42" s="599">
        <v>2</v>
      </c>
      <c r="T42" s="599">
        <v>0</v>
      </c>
      <c r="U42" s="599">
        <v>0</v>
      </c>
      <c r="V42" s="599">
        <f t="shared" si="9"/>
        <v>0</v>
      </c>
      <c r="W42" s="599">
        <v>0</v>
      </c>
      <c r="X42" s="599">
        <v>0</v>
      </c>
      <c r="Y42" s="599">
        <v>0</v>
      </c>
      <c r="Z42" s="599">
        <v>0</v>
      </c>
      <c r="AA42" s="599">
        <v>0</v>
      </c>
    </row>
    <row r="43" spans="1:27" s="121" customFormat="1" ht="14.5" customHeight="1">
      <c r="A43" s="472"/>
      <c r="B43" s="455" t="s">
        <v>232</v>
      </c>
      <c r="C43" s="594">
        <f t="shared" ref="C43" si="20">D43+J43+P43+V43</f>
        <v>123</v>
      </c>
      <c r="D43" s="594">
        <f t="shared" ref="D43" si="21">SUM(E43:I43)</f>
        <v>103</v>
      </c>
      <c r="E43" s="594">
        <v>57</v>
      </c>
      <c r="F43" s="594">
        <v>21</v>
      </c>
      <c r="G43" s="594">
        <v>25</v>
      </c>
      <c r="H43" s="594">
        <v>0</v>
      </c>
      <c r="I43" s="594">
        <v>0</v>
      </c>
      <c r="J43" s="594">
        <f t="shared" si="7"/>
        <v>9</v>
      </c>
      <c r="K43" s="594">
        <v>8</v>
      </c>
      <c r="L43" s="594">
        <v>1</v>
      </c>
      <c r="M43" s="594">
        <v>0</v>
      </c>
      <c r="N43" s="594">
        <v>0</v>
      </c>
      <c r="O43" s="594">
        <v>0</v>
      </c>
      <c r="P43" s="594">
        <f t="shared" si="8"/>
        <v>10</v>
      </c>
      <c r="Q43" s="594">
        <v>8</v>
      </c>
      <c r="R43" s="594">
        <v>1</v>
      </c>
      <c r="S43" s="594">
        <v>1</v>
      </c>
      <c r="T43" s="594">
        <v>0</v>
      </c>
      <c r="U43" s="594">
        <v>0</v>
      </c>
      <c r="V43" s="594">
        <f t="shared" si="9"/>
        <v>1</v>
      </c>
      <c r="W43" s="594">
        <v>1</v>
      </c>
      <c r="X43" s="594">
        <v>0</v>
      </c>
      <c r="Y43" s="594">
        <v>0</v>
      </c>
      <c r="Z43" s="594">
        <v>0</v>
      </c>
      <c r="AA43" s="594">
        <v>0</v>
      </c>
    </row>
    <row r="44" spans="1:27" s="121" customFormat="1" ht="14.5" customHeight="1">
      <c r="A44" s="472"/>
      <c r="B44" s="455" t="s">
        <v>233</v>
      </c>
      <c r="C44" s="594">
        <f t="shared" ref="C44" si="22">D44+J44+P44+V44</f>
        <v>134</v>
      </c>
      <c r="D44" s="594">
        <f t="shared" ref="D44" si="23">SUM(E44:I44)</f>
        <v>110</v>
      </c>
      <c r="E44" s="594">
        <v>67</v>
      </c>
      <c r="F44" s="594">
        <v>29</v>
      </c>
      <c r="G44" s="594">
        <v>10</v>
      </c>
      <c r="H44" s="594">
        <v>3</v>
      </c>
      <c r="I44" s="594">
        <v>1</v>
      </c>
      <c r="J44" s="594">
        <f t="shared" si="7"/>
        <v>11</v>
      </c>
      <c r="K44" s="594">
        <v>8</v>
      </c>
      <c r="L44" s="594">
        <v>1</v>
      </c>
      <c r="M44" s="594">
        <v>1</v>
      </c>
      <c r="N44" s="594">
        <v>0</v>
      </c>
      <c r="O44" s="594">
        <v>1</v>
      </c>
      <c r="P44" s="594">
        <f t="shared" si="8"/>
        <v>13</v>
      </c>
      <c r="Q44" s="594">
        <v>7</v>
      </c>
      <c r="R44" s="594">
        <v>4</v>
      </c>
      <c r="S44" s="594">
        <v>2</v>
      </c>
      <c r="T44" s="594">
        <v>0</v>
      </c>
      <c r="U44" s="594">
        <v>0</v>
      </c>
      <c r="V44" s="594">
        <f t="shared" si="9"/>
        <v>0</v>
      </c>
      <c r="W44" s="594">
        <v>0</v>
      </c>
      <c r="X44" s="594">
        <v>0</v>
      </c>
      <c r="Y44" s="594">
        <v>0</v>
      </c>
      <c r="Z44" s="594">
        <v>0</v>
      </c>
      <c r="AA44" s="594">
        <v>0</v>
      </c>
    </row>
    <row r="45" spans="1:27" s="121" customFormat="1" ht="14.5" customHeight="1">
      <c r="A45" s="473"/>
      <c r="B45" s="456" t="s">
        <v>234</v>
      </c>
      <c r="C45" s="596">
        <f t="shared" ref="C45" si="24">D45+J45+P45+V45</f>
        <v>147</v>
      </c>
      <c r="D45" s="596">
        <f t="shared" ref="D45" si="25">SUM(E45:I45)</f>
        <v>127</v>
      </c>
      <c r="E45" s="596">
        <v>72</v>
      </c>
      <c r="F45" s="596">
        <v>25</v>
      </c>
      <c r="G45" s="596">
        <v>25</v>
      </c>
      <c r="H45" s="596">
        <v>4</v>
      </c>
      <c r="I45" s="596">
        <v>1</v>
      </c>
      <c r="J45" s="596">
        <f t="shared" si="7"/>
        <v>7</v>
      </c>
      <c r="K45" s="596">
        <v>3</v>
      </c>
      <c r="L45" s="596">
        <v>2</v>
      </c>
      <c r="M45" s="596">
        <v>2</v>
      </c>
      <c r="N45" s="596">
        <v>0</v>
      </c>
      <c r="O45" s="596">
        <v>0</v>
      </c>
      <c r="P45" s="596">
        <f t="shared" si="8"/>
        <v>13</v>
      </c>
      <c r="Q45" s="596">
        <v>3</v>
      </c>
      <c r="R45" s="596">
        <v>6</v>
      </c>
      <c r="S45" s="596">
        <v>2</v>
      </c>
      <c r="T45" s="596">
        <v>2</v>
      </c>
      <c r="U45" s="596">
        <v>0</v>
      </c>
      <c r="V45" s="596">
        <f t="shared" si="9"/>
        <v>0</v>
      </c>
      <c r="W45" s="596">
        <v>0</v>
      </c>
      <c r="X45" s="596">
        <v>0</v>
      </c>
      <c r="Y45" s="596">
        <v>0</v>
      </c>
      <c r="Z45" s="596">
        <v>0</v>
      </c>
      <c r="AA45" s="596">
        <v>0</v>
      </c>
    </row>
    <row r="46" spans="1:27" s="121" customFormat="1" ht="14.5" customHeight="1">
      <c r="A46" s="471">
        <v>2025</v>
      </c>
      <c r="B46" s="454" t="s">
        <v>231</v>
      </c>
      <c r="C46" s="599">
        <f t="shared" ref="C46" si="26">D46+J46+P46+V46</f>
        <v>103</v>
      </c>
      <c r="D46" s="599">
        <f t="shared" ref="D46" si="27">SUM(E46:I46)</f>
        <v>87</v>
      </c>
      <c r="E46" s="599">
        <v>48</v>
      </c>
      <c r="F46" s="599">
        <v>19</v>
      </c>
      <c r="G46" s="599">
        <v>14</v>
      </c>
      <c r="H46" s="599">
        <v>6</v>
      </c>
      <c r="I46" s="599">
        <v>0</v>
      </c>
      <c r="J46" s="599">
        <f t="shared" si="7"/>
        <v>9</v>
      </c>
      <c r="K46" s="599">
        <v>7</v>
      </c>
      <c r="L46" s="599">
        <v>0</v>
      </c>
      <c r="M46" s="599">
        <v>2</v>
      </c>
      <c r="N46" s="599">
        <v>0</v>
      </c>
      <c r="O46" s="599">
        <v>0</v>
      </c>
      <c r="P46" s="599">
        <f t="shared" si="8"/>
        <v>6</v>
      </c>
      <c r="Q46" s="599">
        <v>5</v>
      </c>
      <c r="R46" s="599">
        <v>0</v>
      </c>
      <c r="S46" s="599">
        <v>1</v>
      </c>
      <c r="T46" s="599">
        <v>0</v>
      </c>
      <c r="U46" s="599">
        <v>0</v>
      </c>
      <c r="V46" s="599">
        <f t="shared" si="9"/>
        <v>1</v>
      </c>
      <c r="W46" s="599">
        <v>0</v>
      </c>
      <c r="X46" s="599">
        <v>0</v>
      </c>
      <c r="Y46" s="599">
        <v>0</v>
      </c>
      <c r="Z46" s="599">
        <v>0</v>
      </c>
      <c r="AA46" s="599">
        <v>1</v>
      </c>
    </row>
    <row r="47" spans="1:27" s="121" customFormat="1" ht="14.5" customHeight="1">
      <c r="A47" s="473"/>
      <c r="B47" s="456" t="s">
        <v>232</v>
      </c>
      <c r="C47" s="596">
        <f t="shared" ref="C47" si="28">D47+J47+P47+V47</f>
        <v>146</v>
      </c>
      <c r="D47" s="596">
        <f t="shared" ref="D47" si="29">SUM(E47:I47)</f>
        <v>121</v>
      </c>
      <c r="E47" s="596">
        <v>70</v>
      </c>
      <c r="F47" s="596">
        <v>22</v>
      </c>
      <c r="G47" s="596">
        <v>17</v>
      </c>
      <c r="H47" s="596">
        <v>11</v>
      </c>
      <c r="I47" s="596">
        <v>1</v>
      </c>
      <c r="J47" s="596">
        <f t="shared" si="7"/>
        <v>14</v>
      </c>
      <c r="K47" s="596">
        <v>11</v>
      </c>
      <c r="L47" s="596">
        <v>3</v>
      </c>
      <c r="M47" s="596">
        <v>0</v>
      </c>
      <c r="N47" s="596">
        <v>0</v>
      </c>
      <c r="O47" s="596">
        <v>0</v>
      </c>
      <c r="P47" s="596">
        <f t="shared" si="8"/>
        <v>11</v>
      </c>
      <c r="Q47" s="596">
        <v>7</v>
      </c>
      <c r="R47" s="596">
        <v>2</v>
      </c>
      <c r="S47" s="596">
        <v>1</v>
      </c>
      <c r="T47" s="596">
        <v>1</v>
      </c>
      <c r="U47" s="596">
        <v>0</v>
      </c>
      <c r="V47" s="596">
        <f t="shared" si="9"/>
        <v>0</v>
      </c>
      <c r="W47" s="596">
        <v>0</v>
      </c>
      <c r="X47" s="596">
        <v>0</v>
      </c>
      <c r="Y47" s="596">
        <v>0</v>
      </c>
      <c r="Z47" s="596">
        <v>0</v>
      </c>
      <c r="AA47" s="596">
        <v>0</v>
      </c>
    </row>
    <row r="49" spans="1:27">
      <c r="A49" s="491" t="s">
        <v>118</v>
      </c>
    </row>
    <row r="50" spans="1:27">
      <c r="A50" s="488" t="s">
        <v>168</v>
      </c>
    </row>
    <row r="52" spans="1:27">
      <c r="D52" s="80"/>
      <c r="E52" s="80"/>
      <c r="F52" s="80"/>
      <c r="G52" s="80"/>
      <c r="H52" s="80"/>
      <c r="I52" s="80"/>
      <c r="J52" s="80"/>
      <c r="K52" s="80"/>
      <c r="L52" s="80"/>
      <c r="M52" s="80"/>
      <c r="N52" s="80"/>
      <c r="O52" s="80"/>
      <c r="P52" s="80"/>
      <c r="Q52" s="80"/>
      <c r="R52" s="80"/>
      <c r="S52" s="80"/>
      <c r="T52" s="80"/>
      <c r="U52" s="80"/>
      <c r="V52" s="80"/>
      <c r="W52" s="80"/>
      <c r="X52" s="80"/>
      <c r="Y52" s="80"/>
      <c r="Z52" s="80"/>
      <c r="AA52" s="80"/>
    </row>
  </sheetData>
  <sheetProtection formatCells="0" insertColumns="0" insertRows="0" deleteColumns="0" deleteRows="0"/>
  <mergeCells count="7">
    <mergeCell ref="A2:AA2"/>
    <mergeCell ref="A3:B5"/>
    <mergeCell ref="C3:AA3"/>
    <mergeCell ref="D4:I4"/>
    <mergeCell ref="J4:O4"/>
    <mergeCell ref="P4:U4"/>
    <mergeCell ref="V4:AA4"/>
  </mergeCells>
  <pageMargins left="0.2" right="0.1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2"/>
  <sheetViews>
    <sheetView zoomScaleNormal="100" workbookViewId="0">
      <pane ySplit="4" topLeftCell="A33" activePane="bottomLeft" state="frozen"/>
      <selection activeCell="J154" sqref="J154"/>
      <selection pane="bottomLeft"/>
    </sheetView>
  </sheetViews>
  <sheetFormatPr defaultColWidth="9.1796875" defaultRowHeight="13"/>
  <cols>
    <col min="1" max="1" width="6.81640625" style="65" customWidth="1"/>
    <col min="2" max="2" width="10.81640625" style="65" customWidth="1"/>
    <col min="3" max="3" width="15.453125" style="65" customWidth="1"/>
    <col min="4" max="4" width="13.81640625" style="65" customWidth="1"/>
    <col min="5" max="5" width="17.453125" style="65" customWidth="1"/>
    <col min="6" max="8" width="13.81640625" style="65" customWidth="1"/>
    <col min="9" max="16384" width="9.1796875" style="65"/>
  </cols>
  <sheetData>
    <row r="1" spans="1:8">
      <c r="A1" s="533" t="s">
        <v>309</v>
      </c>
    </row>
    <row r="2" spans="1:8">
      <c r="A2" s="763" t="s">
        <v>97</v>
      </c>
      <c r="B2" s="763"/>
      <c r="C2" s="763"/>
      <c r="D2" s="763"/>
      <c r="E2" s="763"/>
      <c r="F2" s="763"/>
      <c r="G2" s="763"/>
      <c r="H2" s="763"/>
    </row>
    <row r="3" spans="1:8" s="121" customFormat="1" ht="22.5" customHeight="1">
      <c r="A3" s="756" t="s">
        <v>98</v>
      </c>
      <c r="B3" s="757"/>
      <c r="C3" s="770" t="s">
        <v>310</v>
      </c>
      <c r="D3" s="771"/>
      <c r="E3" s="771"/>
      <c r="F3" s="771"/>
      <c r="G3" s="771"/>
      <c r="H3" s="772"/>
    </row>
    <row r="4" spans="1:8" s="121" customFormat="1" ht="14.5">
      <c r="A4" s="758"/>
      <c r="B4" s="759"/>
      <c r="C4" s="548" t="s">
        <v>102</v>
      </c>
      <c r="D4" s="517" t="s">
        <v>289</v>
      </c>
      <c r="E4" s="517" t="s">
        <v>290</v>
      </c>
      <c r="F4" s="517" t="s">
        <v>291</v>
      </c>
      <c r="G4" s="517" t="s">
        <v>292</v>
      </c>
      <c r="H4" s="517" t="s">
        <v>293</v>
      </c>
    </row>
    <row r="5" spans="1:8" s="121" customFormat="1" ht="14.5">
      <c r="A5" s="526">
        <v>2015</v>
      </c>
      <c r="B5" s="551" t="s">
        <v>231</v>
      </c>
      <c r="C5" s="170">
        <f t="shared" ref="C5:C22" si="0">SUM(D5:H5)</f>
        <v>35.766999999999996</v>
      </c>
      <c r="D5" s="166">
        <v>15.022</v>
      </c>
      <c r="E5" s="170">
        <v>6.8559999999999999</v>
      </c>
      <c r="F5" s="170">
        <v>5.9550000000000001</v>
      </c>
      <c r="G5" s="167">
        <v>7.9340000000000002</v>
      </c>
      <c r="H5" s="170" t="s">
        <v>296</v>
      </c>
    </row>
    <row r="6" spans="1:8" s="121" customFormat="1" ht="14.5">
      <c r="A6" s="526"/>
      <c r="B6" s="549" t="s">
        <v>232</v>
      </c>
      <c r="C6" s="166">
        <f t="shared" si="0"/>
        <v>41.529030000000006</v>
      </c>
      <c r="D6" s="166">
        <v>19.152280000000001</v>
      </c>
      <c r="E6" s="166">
        <v>8.8925000000000001</v>
      </c>
      <c r="F6" s="166">
        <v>4.8932500000000001</v>
      </c>
      <c r="G6" s="166">
        <v>8.0730000000000004</v>
      </c>
      <c r="H6" s="166">
        <v>0.51800000000000002</v>
      </c>
    </row>
    <row r="7" spans="1:8" s="121" customFormat="1" ht="14.5">
      <c r="A7" s="526"/>
      <c r="B7" s="549" t="s">
        <v>233</v>
      </c>
      <c r="C7" s="166">
        <f t="shared" si="0"/>
        <v>22.351249999999997</v>
      </c>
      <c r="D7" s="166">
        <v>13.324</v>
      </c>
      <c r="E7" s="166">
        <v>2.0779999999999998</v>
      </c>
      <c r="F7" s="166">
        <v>5.0022500000000001</v>
      </c>
      <c r="G7" s="166">
        <v>1.641</v>
      </c>
      <c r="H7" s="166">
        <v>0.30599999999999999</v>
      </c>
    </row>
    <row r="8" spans="1:8" s="121" customFormat="1" ht="14.5">
      <c r="A8" s="527"/>
      <c r="B8" s="550" t="s">
        <v>234</v>
      </c>
      <c r="C8" s="168">
        <f t="shared" si="0"/>
        <v>10.70575</v>
      </c>
      <c r="D8" s="168">
        <v>5.125</v>
      </c>
      <c r="E8" s="168">
        <v>1.615</v>
      </c>
      <c r="F8" s="168">
        <v>2.6757499999999999</v>
      </c>
      <c r="G8" s="168">
        <v>0.89400000000000002</v>
      </c>
      <c r="H8" s="168">
        <v>0.39600000000000002</v>
      </c>
    </row>
    <row r="9" spans="1:8" s="121" customFormat="1" ht="14.5">
      <c r="A9" s="526">
        <v>2016</v>
      </c>
      <c r="B9" s="551" t="s">
        <v>231</v>
      </c>
      <c r="C9" s="170">
        <f t="shared" si="0"/>
        <v>23.987411000000002</v>
      </c>
      <c r="D9" s="166">
        <v>11.662523</v>
      </c>
      <c r="E9" s="170">
        <v>6.3739999999999997</v>
      </c>
      <c r="F9" s="170">
        <v>4.58</v>
      </c>
      <c r="G9" s="167">
        <v>1.260888</v>
      </c>
      <c r="H9" s="170">
        <v>0.11</v>
      </c>
    </row>
    <row r="10" spans="1:8" s="121" customFormat="1" ht="14.5">
      <c r="A10" s="526"/>
      <c r="B10" s="549" t="s">
        <v>232</v>
      </c>
      <c r="C10" s="166">
        <f t="shared" si="0"/>
        <v>16.469757489999999</v>
      </c>
      <c r="D10" s="166">
        <v>9.1334974899999999</v>
      </c>
      <c r="E10" s="166">
        <v>3.4710000000000001</v>
      </c>
      <c r="F10" s="166">
        <v>3.7032600000000002</v>
      </c>
      <c r="G10" s="166">
        <v>9.6000000000000002E-2</v>
      </c>
      <c r="H10" s="166">
        <v>6.6000000000000003E-2</v>
      </c>
    </row>
    <row r="11" spans="1:8" s="121" customFormat="1" ht="14.5">
      <c r="A11" s="526"/>
      <c r="B11" s="549" t="s">
        <v>233</v>
      </c>
      <c r="C11" s="166">
        <f t="shared" si="0"/>
        <v>24.679293009999999</v>
      </c>
      <c r="D11" s="166">
        <v>15.61381766</v>
      </c>
      <c r="E11" s="166">
        <v>5.8293629999999999</v>
      </c>
      <c r="F11" s="166">
        <v>1.8460000000000001</v>
      </c>
      <c r="G11" s="166">
        <v>1.133</v>
      </c>
      <c r="H11" s="166">
        <v>0.25711234999999999</v>
      </c>
    </row>
    <row r="12" spans="1:8" s="121" customFormat="1" ht="14.5">
      <c r="A12" s="527"/>
      <c r="B12" s="550" t="s">
        <v>234</v>
      </c>
      <c r="C12" s="168">
        <f t="shared" si="0"/>
        <v>28.102252659999998</v>
      </c>
      <c r="D12" s="168">
        <v>14.99278241</v>
      </c>
      <c r="E12" s="168">
        <v>5.8491472499999997</v>
      </c>
      <c r="F12" s="168">
        <v>5.4009999999999998</v>
      </c>
      <c r="G12" s="168">
        <v>1.2929999999999999</v>
      </c>
      <c r="H12" s="168">
        <v>0.56632300000000002</v>
      </c>
    </row>
    <row r="13" spans="1:8" s="121" customFormat="1" ht="14.5">
      <c r="A13" s="528">
        <v>2017</v>
      </c>
      <c r="B13" s="551" t="s">
        <v>231</v>
      </c>
      <c r="C13" s="170">
        <f t="shared" si="0"/>
        <v>21.511263549999999</v>
      </c>
      <c r="D13" s="170">
        <v>10.72736991</v>
      </c>
      <c r="E13" s="170">
        <v>5.0150714599999997</v>
      </c>
      <c r="F13" s="170">
        <v>3.3566549999999999</v>
      </c>
      <c r="G13" s="170">
        <v>2.3279999999999998</v>
      </c>
      <c r="H13" s="170">
        <v>8.4167179999999994E-2</v>
      </c>
    </row>
    <row r="14" spans="1:8" s="121" customFormat="1" ht="14.5">
      <c r="A14" s="526"/>
      <c r="B14" s="549" t="s">
        <v>232</v>
      </c>
      <c r="C14" s="166">
        <f t="shared" si="0"/>
        <v>20.152334520000004</v>
      </c>
      <c r="D14" s="166">
        <v>11.76983452</v>
      </c>
      <c r="E14" s="166">
        <v>2.9249999999999998</v>
      </c>
      <c r="F14" s="166">
        <v>2.1</v>
      </c>
      <c r="G14" s="166">
        <v>3.3574999999999999</v>
      </c>
      <c r="H14" s="166" t="s">
        <v>296</v>
      </c>
    </row>
    <row r="15" spans="1:8" s="121" customFormat="1" ht="14.5">
      <c r="A15" s="526"/>
      <c r="B15" s="549" t="s">
        <v>233</v>
      </c>
      <c r="C15" s="166">
        <f t="shared" si="0"/>
        <v>21.287964899999999</v>
      </c>
      <c r="D15" s="166">
        <v>14.2559649</v>
      </c>
      <c r="E15" s="166">
        <v>2.129</v>
      </c>
      <c r="F15" s="166">
        <v>2.0049999999999999</v>
      </c>
      <c r="G15" s="166">
        <v>2.1480000000000001</v>
      </c>
      <c r="H15" s="166">
        <v>0.75</v>
      </c>
    </row>
    <row r="16" spans="1:8" s="121" customFormat="1" ht="14.5">
      <c r="A16" s="527"/>
      <c r="B16" s="550" t="s">
        <v>234</v>
      </c>
      <c r="C16" s="168">
        <f t="shared" si="0"/>
        <v>21.213965999999999</v>
      </c>
      <c r="D16" s="168">
        <v>13.513966</v>
      </c>
      <c r="E16" s="168">
        <v>2.2330000000000001</v>
      </c>
      <c r="F16" s="168">
        <v>2.9420000000000002</v>
      </c>
      <c r="G16" s="168">
        <v>2.5249999999999999</v>
      </c>
      <c r="H16" s="168" t="s">
        <v>296</v>
      </c>
    </row>
    <row r="17" spans="1:9" s="121" customFormat="1" ht="14.5">
      <c r="A17" s="528">
        <v>2018</v>
      </c>
      <c r="B17" s="551" t="s">
        <v>231</v>
      </c>
      <c r="C17" s="170">
        <f t="shared" si="0"/>
        <v>19.398600000000002</v>
      </c>
      <c r="D17" s="170">
        <v>12.1396</v>
      </c>
      <c r="E17" s="170">
        <v>3.6850000000000001</v>
      </c>
      <c r="F17" s="170">
        <v>2.4540000000000002</v>
      </c>
      <c r="G17" s="170">
        <v>0.85499999999999998</v>
      </c>
      <c r="H17" s="170">
        <v>0.26500000000000001</v>
      </c>
    </row>
    <row r="18" spans="1:9" s="121" customFormat="1" ht="14.5">
      <c r="A18" s="526"/>
      <c r="B18" s="549" t="s">
        <v>232</v>
      </c>
      <c r="C18" s="166">
        <f t="shared" si="0"/>
        <v>17.312999999999999</v>
      </c>
      <c r="D18" s="166">
        <v>10.185</v>
      </c>
      <c r="E18" s="166">
        <v>3.0640000000000001</v>
      </c>
      <c r="F18" s="166">
        <v>2.6429999999999998</v>
      </c>
      <c r="G18" s="166">
        <v>1.121</v>
      </c>
      <c r="H18" s="166">
        <v>0.3</v>
      </c>
    </row>
    <row r="19" spans="1:9" s="121" customFormat="1" ht="14.5">
      <c r="A19" s="526"/>
      <c r="B19" s="418" t="s">
        <v>233</v>
      </c>
      <c r="C19" s="166">
        <f t="shared" si="0"/>
        <v>21.8</v>
      </c>
      <c r="D19" s="166">
        <v>14.74</v>
      </c>
      <c r="E19" s="166">
        <v>3.7</v>
      </c>
      <c r="F19" s="166">
        <v>2.73</v>
      </c>
      <c r="G19" s="166">
        <v>0.54</v>
      </c>
      <c r="H19" s="173">
        <v>0.09</v>
      </c>
    </row>
    <row r="20" spans="1:9" s="121" customFormat="1" ht="14.5">
      <c r="A20" s="527"/>
      <c r="B20" s="552" t="s">
        <v>234</v>
      </c>
      <c r="C20" s="168">
        <f t="shared" si="0"/>
        <v>28.779999999999998</v>
      </c>
      <c r="D20" s="168">
        <v>19.29</v>
      </c>
      <c r="E20" s="168">
        <v>3.06</v>
      </c>
      <c r="F20" s="168">
        <v>4.55</v>
      </c>
      <c r="G20" s="168">
        <v>1.58</v>
      </c>
      <c r="H20" s="322">
        <v>0.3</v>
      </c>
    </row>
    <row r="21" spans="1:9" s="121" customFormat="1" ht="14.5">
      <c r="A21" s="528">
        <v>2019</v>
      </c>
      <c r="B21" s="553" t="s">
        <v>231</v>
      </c>
      <c r="C21" s="170">
        <f t="shared" si="0"/>
        <v>23.41</v>
      </c>
      <c r="D21" s="170">
        <v>14.54</v>
      </c>
      <c r="E21" s="170">
        <v>4.8099999999999996</v>
      </c>
      <c r="F21" s="170">
        <v>1.85</v>
      </c>
      <c r="G21" s="170">
        <v>2.21</v>
      </c>
      <c r="H21" s="170" t="s">
        <v>296</v>
      </c>
    </row>
    <row r="22" spans="1:9" s="121" customFormat="1" ht="14.5">
      <c r="A22" s="526"/>
      <c r="B22" s="418" t="s">
        <v>232</v>
      </c>
      <c r="C22" s="166">
        <f t="shared" si="0"/>
        <v>27.200000000000003</v>
      </c>
      <c r="D22" s="166">
        <v>16</v>
      </c>
      <c r="E22" s="166">
        <v>5.3</v>
      </c>
      <c r="F22" s="166">
        <v>4.8</v>
      </c>
      <c r="G22" s="166">
        <v>0.8</v>
      </c>
      <c r="H22" s="166">
        <v>0.3</v>
      </c>
    </row>
    <row r="23" spans="1:9" s="121" customFormat="1" ht="14.5">
      <c r="A23" s="526"/>
      <c r="B23" s="418" t="s">
        <v>233</v>
      </c>
      <c r="C23" s="232">
        <f t="shared" ref="C23:C46" si="1">SUM(D23:H23)</f>
        <v>25.554400000000001</v>
      </c>
      <c r="D23" s="232">
        <v>16.353400000000001</v>
      </c>
      <c r="E23" s="232">
        <v>3.4670000000000001</v>
      </c>
      <c r="F23" s="232">
        <v>3.4590000000000001</v>
      </c>
      <c r="G23" s="232">
        <v>2.19</v>
      </c>
      <c r="H23" s="166">
        <v>8.5000000000000006E-2</v>
      </c>
      <c r="I23" s="326"/>
    </row>
    <row r="24" spans="1:9" s="121" customFormat="1" ht="14.5">
      <c r="A24" s="527"/>
      <c r="B24" s="552" t="s">
        <v>234</v>
      </c>
      <c r="C24" s="168">
        <f t="shared" si="1"/>
        <v>24.599999999999998</v>
      </c>
      <c r="D24" s="169">
        <v>11.2</v>
      </c>
      <c r="E24" s="168">
        <v>5.7</v>
      </c>
      <c r="F24" s="169">
        <v>4.4000000000000004</v>
      </c>
      <c r="G24" s="168">
        <v>3.3</v>
      </c>
      <c r="H24" s="322" t="s">
        <v>296</v>
      </c>
    </row>
    <row r="25" spans="1:9" s="121" customFormat="1" ht="14.5">
      <c r="A25" s="528">
        <v>2020</v>
      </c>
      <c r="B25" s="553" t="s">
        <v>231</v>
      </c>
      <c r="C25" s="170">
        <f t="shared" si="1"/>
        <v>15.981756000000001</v>
      </c>
      <c r="D25" s="170">
        <v>5.9897559999999999</v>
      </c>
      <c r="E25" s="170">
        <v>5.12</v>
      </c>
      <c r="F25" s="170">
        <v>1.5149999999999999</v>
      </c>
      <c r="G25" s="170">
        <v>3.3570000000000002</v>
      </c>
      <c r="H25" s="170" t="s">
        <v>296</v>
      </c>
    </row>
    <row r="26" spans="1:9" s="121" customFormat="1" ht="14.5">
      <c r="A26" s="526"/>
      <c r="B26" s="418" t="s">
        <v>232</v>
      </c>
      <c r="C26" s="166">
        <f t="shared" si="1"/>
        <v>25.448419000000001</v>
      </c>
      <c r="D26" s="166">
        <v>11.886469</v>
      </c>
      <c r="E26" s="166">
        <v>7.4435500000000001</v>
      </c>
      <c r="F26" s="166">
        <v>2.9239999999999999</v>
      </c>
      <c r="G26" s="166">
        <v>2.8639999999999999</v>
      </c>
      <c r="H26" s="166">
        <v>0.33040000000000003</v>
      </c>
    </row>
    <row r="27" spans="1:9" s="121" customFormat="1" ht="14.5">
      <c r="A27" s="526"/>
      <c r="B27" s="418" t="s">
        <v>233</v>
      </c>
      <c r="C27" s="166">
        <f t="shared" si="1"/>
        <v>36.261200000000002</v>
      </c>
      <c r="D27" s="166">
        <v>22.794599999999999</v>
      </c>
      <c r="E27" s="166">
        <v>5.6929999999999996</v>
      </c>
      <c r="F27" s="166">
        <v>5.2812999999999999</v>
      </c>
      <c r="G27" s="166">
        <v>1.7665</v>
      </c>
      <c r="H27" s="166">
        <v>0.7258</v>
      </c>
    </row>
    <row r="28" spans="1:9" s="121" customFormat="1" ht="14.5">
      <c r="A28" s="527"/>
      <c r="B28" s="552" t="s">
        <v>234</v>
      </c>
      <c r="C28" s="168">
        <f t="shared" si="1"/>
        <v>29.981153719999998</v>
      </c>
      <c r="D28" s="168">
        <v>18.842153719999999</v>
      </c>
      <c r="E28" s="168">
        <v>6.3334999999999999</v>
      </c>
      <c r="F28" s="168">
        <v>3.714</v>
      </c>
      <c r="G28" s="168">
        <v>1.0189999999999999</v>
      </c>
      <c r="H28" s="168">
        <v>7.2499999999999995E-2</v>
      </c>
    </row>
    <row r="29" spans="1:9" s="121" customFormat="1" ht="14.5">
      <c r="A29" s="528">
        <v>2021</v>
      </c>
      <c r="B29" s="553" t="s">
        <v>231</v>
      </c>
      <c r="C29" s="170">
        <f t="shared" si="1"/>
        <v>23.847953999999998</v>
      </c>
      <c r="D29" s="170">
        <v>16.723953999999999</v>
      </c>
      <c r="E29" s="170">
        <v>3.1579999999999999</v>
      </c>
      <c r="F29" s="170">
        <v>1.6180000000000001</v>
      </c>
      <c r="G29" s="170">
        <v>1.8580000000000001</v>
      </c>
      <c r="H29" s="170">
        <v>0.49</v>
      </c>
    </row>
    <row r="30" spans="1:9" s="121" customFormat="1">
      <c r="A30" s="524"/>
      <c r="B30" s="418" t="s">
        <v>232</v>
      </c>
      <c r="C30" s="232">
        <f t="shared" si="1"/>
        <v>23.209851</v>
      </c>
      <c r="D30" s="588">
        <v>16.577850999999999</v>
      </c>
      <c r="E30" s="588">
        <v>3.956</v>
      </c>
      <c r="F30" s="589">
        <v>1.286</v>
      </c>
      <c r="G30" s="589">
        <v>1.1919999999999999</v>
      </c>
      <c r="H30" s="589">
        <v>0.19800000000000001</v>
      </c>
    </row>
    <row r="31" spans="1:9" s="121" customFormat="1">
      <c r="A31" s="524"/>
      <c r="B31" s="418" t="s">
        <v>233</v>
      </c>
      <c r="C31" s="232">
        <f t="shared" si="1"/>
        <v>32.097070110000004</v>
      </c>
      <c r="D31" s="588">
        <v>21.955070110000001</v>
      </c>
      <c r="E31" s="589">
        <v>5.8319999999999999</v>
      </c>
      <c r="F31" s="589">
        <v>2.496</v>
      </c>
      <c r="G31" s="588">
        <v>1.8140000000000001</v>
      </c>
      <c r="H31" s="589" t="s">
        <v>296</v>
      </c>
    </row>
    <row r="32" spans="1:9" s="121" customFormat="1">
      <c r="A32" s="525"/>
      <c r="B32" s="552" t="s">
        <v>234</v>
      </c>
      <c r="C32" s="587">
        <f t="shared" si="1"/>
        <v>28.42543788</v>
      </c>
      <c r="D32" s="590">
        <v>18.01314988</v>
      </c>
      <c r="E32" s="591">
        <v>3.2759999999999998</v>
      </c>
      <c r="F32" s="591">
        <v>4.0842879999999999</v>
      </c>
      <c r="G32" s="591">
        <v>2.677</v>
      </c>
      <c r="H32" s="591">
        <v>0.375</v>
      </c>
    </row>
    <row r="33" spans="1:8" s="121" customFormat="1" ht="14.5">
      <c r="A33" s="528">
        <v>2022</v>
      </c>
      <c r="B33" s="553" t="s">
        <v>231</v>
      </c>
      <c r="C33" s="170">
        <f t="shared" si="1"/>
        <v>26.595522019999997</v>
      </c>
      <c r="D33" s="600">
        <v>19.192522019999998</v>
      </c>
      <c r="E33" s="592">
        <v>2.6190000000000002</v>
      </c>
      <c r="F33" s="600">
        <v>4.1859999999999999</v>
      </c>
      <c r="G33" s="592">
        <v>0.59799999999999998</v>
      </c>
      <c r="H33" s="601" t="s">
        <v>296</v>
      </c>
    </row>
    <row r="34" spans="1:8" s="121" customFormat="1" ht="14.5">
      <c r="A34" s="526"/>
      <c r="B34" s="418" t="s">
        <v>232</v>
      </c>
      <c r="C34" s="166">
        <f t="shared" si="1"/>
        <v>28.286373210000004</v>
      </c>
      <c r="D34" s="589">
        <v>16.717373210000002</v>
      </c>
      <c r="E34" s="589">
        <v>4.7685000000000004</v>
      </c>
      <c r="F34" s="589">
        <v>4.6565000000000003</v>
      </c>
      <c r="G34" s="589">
        <v>1.7270000000000001</v>
      </c>
      <c r="H34" s="589">
        <v>0.41699999999999998</v>
      </c>
    </row>
    <row r="35" spans="1:8" s="121" customFormat="1" ht="14.5">
      <c r="A35" s="526"/>
      <c r="B35" s="418" t="s">
        <v>233</v>
      </c>
      <c r="C35" s="166">
        <f t="shared" si="1"/>
        <v>30.041000000000004</v>
      </c>
      <c r="D35" s="589">
        <v>18.845500000000001</v>
      </c>
      <c r="E35" s="589">
        <v>4.3529999999999998</v>
      </c>
      <c r="F35" s="589">
        <v>6.2104999999999997</v>
      </c>
      <c r="G35" s="589">
        <v>0.63200000000000001</v>
      </c>
      <c r="H35" s="589">
        <v>0</v>
      </c>
    </row>
    <row r="36" spans="1:8" s="121" customFormat="1" ht="14.5">
      <c r="A36" s="527"/>
      <c r="B36" s="552" t="s">
        <v>234</v>
      </c>
      <c r="C36" s="168">
        <f t="shared" si="1"/>
        <v>28.301567250000002</v>
      </c>
      <c r="D36" s="591">
        <v>19.806467250000001</v>
      </c>
      <c r="E36" s="591">
        <v>3.6690999999999998</v>
      </c>
      <c r="F36" s="591">
        <v>3.0070000000000001</v>
      </c>
      <c r="G36" s="591">
        <v>1.349</v>
      </c>
      <c r="H36" s="591">
        <v>0.47</v>
      </c>
    </row>
    <row r="37" spans="1:8" s="121" customFormat="1" ht="14.5">
      <c r="A37" s="528">
        <v>2023</v>
      </c>
      <c r="B37" s="553" t="s">
        <v>231</v>
      </c>
      <c r="C37" s="170">
        <f t="shared" si="1"/>
        <v>24.789281000000003</v>
      </c>
      <c r="D37" s="592">
        <v>16.400981000000002</v>
      </c>
      <c r="E37" s="592">
        <v>1.746</v>
      </c>
      <c r="F37" s="592">
        <v>5.4813000000000001</v>
      </c>
      <c r="G37" s="592">
        <v>0.93400000000000005</v>
      </c>
      <c r="H37" s="592">
        <v>0.22700000000000001</v>
      </c>
    </row>
    <row r="38" spans="1:8" s="121" customFormat="1" ht="14.5">
      <c r="A38" s="526"/>
      <c r="B38" s="418" t="s">
        <v>232</v>
      </c>
      <c r="C38" s="166">
        <f t="shared" si="1"/>
        <v>28.976076939999999</v>
      </c>
      <c r="D38" s="589">
        <v>16.354076939999999</v>
      </c>
      <c r="E38" s="589">
        <v>5.907</v>
      </c>
      <c r="F38" s="589">
        <v>6.08</v>
      </c>
      <c r="G38" s="589">
        <v>0.47</v>
      </c>
      <c r="H38" s="589">
        <v>0.16500000000000001</v>
      </c>
    </row>
    <row r="39" spans="1:8" s="121" customFormat="1" ht="14.5">
      <c r="A39" s="526"/>
      <c r="B39" s="418" t="s">
        <v>233</v>
      </c>
      <c r="C39" s="166">
        <f t="shared" si="1"/>
        <v>20.560999999999996</v>
      </c>
      <c r="D39" s="589">
        <v>12.477499999999999</v>
      </c>
      <c r="E39" s="589">
        <v>3.9489999999999998</v>
      </c>
      <c r="F39" s="589">
        <v>3.7105000000000001</v>
      </c>
      <c r="G39" s="589">
        <v>0.42399999999999999</v>
      </c>
      <c r="H39" s="589" t="s">
        <v>296</v>
      </c>
    </row>
    <row r="40" spans="1:8" s="121" customFormat="1" ht="14.5">
      <c r="A40" s="527"/>
      <c r="B40" s="552" t="s">
        <v>234</v>
      </c>
      <c r="C40" s="168">
        <f t="shared" si="1"/>
        <v>29.810777000000002</v>
      </c>
      <c r="D40" s="591">
        <v>20.771277000000001</v>
      </c>
      <c r="E40" s="591">
        <v>3.2909999999999999</v>
      </c>
      <c r="F40" s="591">
        <v>5.3585000000000003</v>
      </c>
      <c r="G40" s="591">
        <v>0.39</v>
      </c>
      <c r="H40" s="591" t="s">
        <v>296</v>
      </c>
    </row>
    <row r="41" spans="1:8" s="121" customFormat="1" ht="14.5">
      <c r="A41" s="528">
        <v>2024</v>
      </c>
      <c r="B41" s="553" t="s">
        <v>231</v>
      </c>
      <c r="C41" s="170">
        <f t="shared" si="1"/>
        <v>16.367599999999999</v>
      </c>
      <c r="D41" s="592">
        <v>9.4400999999999993</v>
      </c>
      <c r="E41" s="592">
        <v>2.8820000000000001</v>
      </c>
      <c r="F41" s="592">
        <v>3.5754999999999999</v>
      </c>
      <c r="G41" s="592">
        <v>0.47</v>
      </c>
      <c r="H41" s="592" t="s">
        <v>296</v>
      </c>
    </row>
    <row r="42" spans="1:8" s="121" customFormat="1" ht="14.5">
      <c r="A42" s="526"/>
      <c r="B42" s="418" t="s">
        <v>232</v>
      </c>
      <c r="C42" s="166">
        <f t="shared" si="1"/>
        <v>28.58933</v>
      </c>
      <c r="D42" s="589">
        <v>17.472829999999998</v>
      </c>
      <c r="E42" s="589">
        <v>6.0209999999999999</v>
      </c>
      <c r="F42" s="589">
        <v>5.0955000000000004</v>
      </c>
      <c r="G42" s="589" t="s">
        <v>296</v>
      </c>
      <c r="H42" s="589" t="s">
        <v>296</v>
      </c>
    </row>
    <row r="43" spans="1:8" s="121" customFormat="1" ht="14.5">
      <c r="A43" s="526"/>
      <c r="B43" s="418" t="s">
        <v>233</v>
      </c>
      <c r="C43" s="166">
        <f t="shared" si="1"/>
        <v>28.621032999999997</v>
      </c>
      <c r="D43" s="589">
        <v>18.215032999999998</v>
      </c>
      <c r="E43" s="589">
        <v>7.5709999999999997</v>
      </c>
      <c r="F43" s="589">
        <v>1.8480000000000001</v>
      </c>
      <c r="G43" s="589">
        <v>0.83499999999999996</v>
      </c>
      <c r="H43" s="589">
        <v>0.152</v>
      </c>
    </row>
    <row r="44" spans="1:8" s="121" customFormat="1" ht="14.5">
      <c r="A44" s="527"/>
      <c r="B44" s="552" t="s">
        <v>234</v>
      </c>
      <c r="C44" s="168">
        <f t="shared" si="1"/>
        <v>31.565913640000002</v>
      </c>
      <c r="D44" s="591">
        <v>19.80867683</v>
      </c>
      <c r="E44" s="591">
        <v>5.62</v>
      </c>
      <c r="F44" s="591">
        <v>4.6952368099999999</v>
      </c>
      <c r="G44" s="591">
        <v>1.292</v>
      </c>
      <c r="H44" s="591">
        <v>0.15</v>
      </c>
    </row>
    <row r="45" spans="1:8" s="121" customFormat="1" ht="14.5">
      <c r="A45" s="528">
        <v>2025</v>
      </c>
      <c r="B45" s="553" t="s">
        <v>231</v>
      </c>
      <c r="C45" s="170">
        <f t="shared" si="1"/>
        <v>20.399999999999995</v>
      </c>
      <c r="D45" s="592">
        <v>12.2</v>
      </c>
      <c r="E45" s="592">
        <v>4.0999999999999996</v>
      </c>
      <c r="F45" s="592">
        <v>3.2</v>
      </c>
      <c r="G45" s="592">
        <v>0.9</v>
      </c>
      <c r="H45" s="592">
        <v>0</v>
      </c>
    </row>
    <row r="46" spans="1:8" s="121" customFormat="1" ht="14.5">
      <c r="A46" s="527"/>
      <c r="B46" s="552" t="s">
        <v>232</v>
      </c>
      <c r="C46" s="168">
        <f t="shared" si="1"/>
        <v>31.313913749999998</v>
      </c>
      <c r="D46" s="591">
        <v>20.350359749999999</v>
      </c>
      <c r="E46" s="591">
        <v>4.8220000000000001</v>
      </c>
      <c r="F46" s="591">
        <v>3.794</v>
      </c>
      <c r="G46" s="591">
        <v>2.2375539999999998</v>
      </c>
      <c r="H46" s="591">
        <v>0.11</v>
      </c>
    </row>
    <row r="47" spans="1:8">
      <c r="B47" s="67"/>
    </row>
    <row r="48" spans="1:8">
      <c r="A48" s="491" t="s">
        <v>118</v>
      </c>
    </row>
    <row r="49" spans="1:8">
      <c r="A49" s="475" t="s">
        <v>297</v>
      </c>
    </row>
    <row r="50" spans="1:8">
      <c r="A50" s="488" t="s">
        <v>168</v>
      </c>
    </row>
    <row r="52" spans="1:8">
      <c r="C52" s="90"/>
      <c r="D52" s="90"/>
      <c r="E52" s="90"/>
      <c r="F52" s="90"/>
      <c r="G52" s="90"/>
      <c r="H52" s="90"/>
    </row>
  </sheetData>
  <sheetProtection formatCells="0" insertColumns="0" insertRows="0" deleteColumns="0" deleteRows="0"/>
  <mergeCells count="3">
    <mergeCell ref="A2:H2"/>
    <mergeCell ref="A3:B4"/>
    <mergeCell ref="C3:H3"/>
  </mergeCells>
  <printOptions horizontalCentered="1"/>
  <pageMargins left="0.33" right="0.7" top="0.75" bottom="0.75" header="0.3" footer="0.3"/>
  <pageSetup paperSize="9" orientation="landscape" r:id="rId1"/>
  <ignoredErrors>
    <ignoredError sqref="C4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58"/>
  <sheetViews>
    <sheetView zoomScaleNormal="100" workbookViewId="0">
      <pane ySplit="4" topLeftCell="A33" activePane="bottomLeft" state="frozen"/>
      <selection activeCell="J154" sqref="J154"/>
      <selection pane="bottomLeft"/>
    </sheetView>
  </sheetViews>
  <sheetFormatPr defaultColWidth="9.1796875" defaultRowHeight="13"/>
  <cols>
    <col min="1" max="1" width="8.1796875" style="65" customWidth="1"/>
    <col min="2" max="2" width="8" style="65" customWidth="1"/>
    <col min="3" max="3" width="14.54296875" style="65" customWidth="1"/>
    <col min="4" max="4" width="14.81640625" style="65" customWidth="1"/>
    <col min="5" max="5" width="18" style="65" customWidth="1"/>
    <col min="6" max="6" width="15.1796875" style="65" customWidth="1"/>
    <col min="7" max="7" width="15" style="65" customWidth="1"/>
    <col min="8" max="8" width="14.453125" style="65" customWidth="1"/>
    <col min="9" max="19" width="13.81640625" style="65" customWidth="1"/>
    <col min="20" max="16384" width="9.1796875" style="65"/>
  </cols>
  <sheetData>
    <row r="1" spans="1:8" ht="13" customHeight="1">
      <c r="A1" s="533" t="s">
        <v>311</v>
      </c>
      <c r="B1" s="533"/>
      <c r="C1" s="533"/>
      <c r="D1" s="533"/>
      <c r="E1" s="533"/>
      <c r="F1" s="533"/>
      <c r="G1" s="533"/>
      <c r="H1" s="533"/>
    </row>
    <row r="2" spans="1:8">
      <c r="A2" s="763" t="s">
        <v>299</v>
      </c>
      <c r="B2" s="763"/>
      <c r="C2" s="763"/>
      <c r="D2" s="763"/>
      <c r="E2" s="763"/>
      <c r="F2" s="763"/>
      <c r="G2" s="763"/>
      <c r="H2" s="763"/>
    </row>
    <row r="3" spans="1:8" s="121" customFormat="1" ht="26.25" customHeight="1">
      <c r="A3" s="830" t="s">
        <v>98</v>
      </c>
      <c r="B3" s="831"/>
      <c r="C3" s="853" t="s">
        <v>312</v>
      </c>
      <c r="D3" s="854"/>
      <c r="E3" s="854"/>
      <c r="F3" s="854"/>
      <c r="G3" s="854"/>
      <c r="H3" s="855"/>
    </row>
    <row r="4" spans="1:8" s="121" customFormat="1" ht="14.5">
      <c r="A4" s="832"/>
      <c r="B4" s="833"/>
      <c r="C4" s="538" t="s">
        <v>301</v>
      </c>
      <c r="D4" s="539" t="s">
        <v>289</v>
      </c>
      <c r="E4" s="539" t="s">
        <v>290</v>
      </c>
      <c r="F4" s="539" t="s">
        <v>291</v>
      </c>
      <c r="G4" s="539" t="s">
        <v>292</v>
      </c>
      <c r="H4" s="539" t="s">
        <v>293</v>
      </c>
    </row>
    <row r="5" spans="1:8" s="121" customFormat="1" ht="14.5">
      <c r="A5" s="472">
        <v>2015</v>
      </c>
      <c r="B5" s="453" t="s">
        <v>231</v>
      </c>
      <c r="C5" s="170">
        <v>270</v>
      </c>
      <c r="D5" s="166">
        <v>380</v>
      </c>
      <c r="E5" s="170">
        <v>285</v>
      </c>
      <c r="F5" s="170">
        <v>237.5</v>
      </c>
      <c r="G5" s="167">
        <v>240</v>
      </c>
      <c r="H5" s="170" t="s">
        <v>296</v>
      </c>
    </row>
    <row r="6" spans="1:8" s="121" customFormat="1" ht="14.5">
      <c r="A6" s="472"/>
      <c r="B6" s="450" t="s">
        <v>232</v>
      </c>
      <c r="C6" s="166">
        <v>250</v>
      </c>
      <c r="D6" s="166">
        <v>345</v>
      </c>
      <c r="E6" s="166">
        <v>280</v>
      </c>
      <c r="F6" s="166">
        <v>231.75</v>
      </c>
      <c r="G6" s="166">
        <v>223.7</v>
      </c>
      <c r="H6" s="166">
        <v>90</v>
      </c>
    </row>
    <row r="7" spans="1:8" s="121" customFormat="1" ht="14.5">
      <c r="A7" s="472"/>
      <c r="B7" s="450" t="s">
        <v>233</v>
      </c>
      <c r="C7" s="166">
        <v>302</v>
      </c>
      <c r="D7" s="166">
        <v>385</v>
      </c>
      <c r="E7" s="166">
        <v>245</v>
      </c>
      <c r="F7" s="166">
        <v>250</v>
      </c>
      <c r="G7" s="166">
        <v>240</v>
      </c>
      <c r="H7" s="166">
        <v>110</v>
      </c>
    </row>
    <row r="8" spans="1:8" s="121" customFormat="1" ht="14.5">
      <c r="A8" s="473"/>
      <c r="B8" s="452" t="s">
        <v>234</v>
      </c>
      <c r="C8" s="168">
        <v>270</v>
      </c>
      <c r="D8" s="168">
        <v>351.5</v>
      </c>
      <c r="E8" s="168">
        <v>287.5</v>
      </c>
      <c r="F8" s="168">
        <v>255</v>
      </c>
      <c r="G8" s="168">
        <v>212</v>
      </c>
      <c r="H8" s="168">
        <v>198</v>
      </c>
    </row>
    <row r="9" spans="1:8" s="121" customFormat="1" ht="14.5">
      <c r="A9" s="472">
        <v>2016</v>
      </c>
      <c r="B9" s="453" t="s">
        <v>231</v>
      </c>
      <c r="C9" s="170">
        <v>277</v>
      </c>
      <c r="D9" s="166">
        <v>295</v>
      </c>
      <c r="E9" s="170">
        <v>250</v>
      </c>
      <c r="F9" s="170">
        <v>255</v>
      </c>
      <c r="G9" s="167">
        <v>213.5</v>
      </c>
      <c r="H9" s="170">
        <v>110</v>
      </c>
    </row>
    <row r="10" spans="1:8" s="121" customFormat="1" ht="14.5">
      <c r="A10" s="472"/>
      <c r="B10" s="450" t="s">
        <v>232</v>
      </c>
      <c r="C10" s="166">
        <v>255</v>
      </c>
      <c r="D10" s="166">
        <v>268</v>
      </c>
      <c r="E10" s="166">
        <v>291.5</v>
      </c>
      <c r="F10" s="166">
        <v>255</v>
      </c>
      <c r="G10" s="166">
        <v>96</v>
      </c>
      <c r="H10" s="166">
        <v>66</v>
      </c>
    </row>
    <row r="11" spans="1:8" s="121" customFormat="1" ht="14.5">
      <c r="A11" s="472"/>
      <c r="B11" s="450" t="s">
        <v>233</v>
      </c>
      <c r="C11" s="166">
        <v>280</v>
      </c>
      <c r="D11" s="166">
        <v>287.5</v>
      </c>
      <c r="E11" s="166">
        <v>300</v>
      </c>
      <c r="F11" s="166">
        <v>215.5</v>
      </c>
      <c r="G11" s="166">
        <v>195</v>
      </c>
      <c r="H11" s="166">
        <v>58</v>
      </c>
    </row>
    <row r="12" spans="1:8" s="121" customFormat="1" ht="14.5">
      <c r="A12" s="473"/>
      <c r="B12" s="452" t="s">
        <v>234</v>
      </c>
      <c r="C12" s="168">
        <v>280</v>
      </c>
      <c r="D12" s="168">
        <v>350</v>
      </c>
      <c r="E12" s="168">
        <v>270</v>
      </c>
      <c r="F12" s="168">
        <v>265</v>
      </c>
      <c r="G12" s="168">
        <v>255</v>
      </c>
      <c r="H12" s="168">
        <v>69</v>
      </c>
    </row>
    <row r="13" spans="1:8" s="121" customFormat="1" ht="14.5">
      <c r="A13" s="471">
        <v>2017</v>
      </c>
      <c r="B13" s="453" t="s">
        <v>231</v>
      </c>
      <c r="C13" s="170">
        <v>290</v>
      </c>
      <c r="D13" s="170">
        <v>315</v>
      </c>
      <c r="E13" s="170">
        <v>286</v>
      </c>
      <c r="F13" s="170">
        <v>255</v>
      </c>
      <c r="G13" s="171">
        <v>501.5</v>
      </c>
      <c r="H13" s="170">
        <v>84.167179999999988</v>
      </c>
    </row>
    <row r="14" spans="1:8" s="121" customFormat="1" ht="14.5">
      <c r="A14" s="541"/>
      <c r="B14" s="450" t="s">
        <v>232</v>
      </c>
      <c r="C14" s="166">
        <v>300</v>
      </c>
      <c r="D14" s="166">
        <v>326.5</v>
      </c>
      <c r="E14" s="166">
        <v>305</v>
      </c>
      <c r="F14" s="166">
        <v>240</v>
      </c>
      <c r="G14" s="166">
        <v>328</v>
      </c>
      <c r="H14" s="166" t="s">
        <v>296</v>
      </c>
    </row>
    <row r="15" spans="1:8" s="121" customFormat="1" ht="14.5">
      <c r="A15" s="472"/>
      <c r="B15" s="450" t="s">
        <v>233</v>
      </c>
      <c r="C15" s="166">
        <v>274</v>
      </c>
      <c r="D15" s="166">
        <v>348</v>
      </c>
      <c r="E15" s="166">
        <v>280</v>
      </c>
      <c r="F15" s="166">
        <v>230</v>
      </c>
      <c r="G15" s="166">
        <v>210</v>
      </c>
      <c r="H15" s="166">
        <v>220</v>
      </c>
    </row>
    <row r="16" spans="1:8" s="121" customFormat="1" ht="14.5">
      <c r="A16" s="540"/>
      <c r="B16" s="452" t="s">
        <v>234</v>
      </c>
      <c r="C16" s="168">
        <v>275</v>
      </c>
      <c r="D16" s="168">
        <v>297.5</v>
      </c>
      <c r="E16" s="168">
        <v>287</v>
      </c>
      <c r="F16" s="168">
        <v>230</v>
      </c>
      <c r="G16" s="168">
        <v>367.5</v>
      </c>
      <c r="H16" s="168" t="s">
        <v>296</v>
      </c>
    </row>
    <row r="17" spans="1:9" s="121" customFormat="1" ht="14.5">
      <c r="A17" s="471">
        <v>2018</v>
      </c>
      <c r="B17" s="454" t="s">
        <v>231</v>
      </c>
      <c r="C17" s="170">
        <v>265</v>
      </c>
      <c r="D17" s="170">
        <v>299</v>
      </c>
      <c r="E17" s="170">
        <v>270</v>
      </c>
      <c r="F17" s="170">
        <v>195</v>
      </c>
      <c r="G17" s="170">
        <v>205</v>
      </c>
      <c r="H17" s="174">
        <v>132.5</v>
      </c>
    </row>
    <row r="18" spans="1:9" s="121" customFormat="1" ht="14.5">
      <c r="A18" s="472"/>
      <c r="B18" s="455" t="s">
        <v>232</v>
      </c>
      <c r="C18" s="166">
        <v>264</v>
      </c>
      <c r="D18" s="166">
        <v>285</v>
      </c>
      <c r="E18" s="166">
        <v>260</v>
      </c>
      <c r="F18" s="166">
        <v>250</v>
      </c>
      <c r="G18" s="166">
        <v>283</v>
      </c>
      <c r="H18" s="173">
        <v>300</v>
      </c>
    </row>
    <row r="19" spans="1:9" s="121" customFormat="1" ht="14.5">
      <c r="A19" s="472"/>
      <c r="B19" s="455" t="s">
        <v>233</v>
      </c>
      <c r="C19" s="166">
        <v>258</v>
      </c>
      <c r="D19" s="166">
        <v>282</v>
      </c>
      <c r="E19" s="232">
        <v>255</v>
      </c>
      <c r="F19" s="166">
        <v>235</v>
      </c>
      <c r="G19" s="166">
        <v>271.5</v>
      </c>
      <c r="H19" s="173">
        <v>91</v>
      </c>
    </row>
    <row r="20" spans="1:9" s="121" customFormat="1" ht="14.5">
      <c r="A20" s="473"/>
      <c r="B20" s="456" t="s">
        <v>234</v>
      </c>
      <c r="C20" s="168">
        <v>269</v>
      </c>
      <c r="D20" s="168">
        <v>289.5</v>
      </c>
      <c r="E20" s="168">
        <v>254</v>
      </c>
      <c r="F20" s="168">
        <v>250</v>
      </c>
      <c r="G20" s="168">
        <v>237.5</v>
      </c>
      <c r="H20" s="322">
        <v>304.8</v>
      </c>
    </row>
    <row r="21" spans="1:9" s="121" customFormat="1" ht="14.5">
      <c r="A21" s="471">
        <v>2019</v>
      </c>
      <c r="B21" s="454" t="s">
        <v>231</v>
      </c>
      <c r="C21" s="170">
        <v>274</v>
      </c>
      <c r="D21" s="170">
        <v>302.3</v>
      </c>
      <c r="E21" s="170">
        <v>250</v>
      </c>
      <c r="F21" s="170">
        <v>199</v>
      </c>
      <c r="G21" s="170">
        <v>325</v>
      </c>
      <c r="H21" s="170" t="s">
        <v>296</v>
      </c>
    </row>
    <row r="22" spans="1:9" s="121" customFormat="1" ht="14.5">
      <c r="A22" s="472"/>
      <c r="B22" s="455" t="s">
        <v>232</v>
      </c>
      <c r="C22" s="166">
        <v>253</v>
      </c>
      <c r="D22" s="166">
        <v>285</v>
      </c>
      <c r="E22" s="166">
        <v>268</v>
      </c>
      <c r="F22" s="166">
        <v>200</v>
      </c>
      <c r="G22" s="166">
        <v>199</v>
      </c>
      <c r="H22" s="166">
        <v>125</v>
      </c>
    </row>
    <row r="23" spans="1:9" s="121" customFormat="1" ht="14.5">
      <c r="A23" s="472"/>
      <c r="B23" s="455" t="s">
        <v>233</v>
      </c>
      <c r="C23" s="166">
        <v>250</v>
      </c>
      <c r="D23" s="231">
        <v>288</v>
      </c>
      <c r="E23" s="232">
        <v>295</v>
      </c>
      <c r="F23" s="167">
        <v>200</v>
      </c>
      <c r="G23" s="232">
        <v>195</v>
      </c>
      <c r="H23" s="173">
        <v>85</v>
      </c>
      <c r="I23" s="326"/>
    </row>
    <row r="24" spans="1:9" s="121" customFormat="1" ht="14.5">
      <c r="A24" s="473"/>
      <c r="B24" s="456" t="s">
        <v>234</v>
      </c>
      <c r="C24" s="168">
        <v>258</v>
      </c>
      <c r="D24" s="169">
        <v>287</v>
      </c>
      <c r="E24" s="168">
        <v>293</v>
      </c>
      <c r="F24" s="169">
        <v>226</v>
      </c>
      <c r="G24" s="168">
        <v>223</v>
      </c>
      <c r="H24" s="322" t="s">
        <v>296</v>
      </c>
    </row>
    <row r="25" spans="1:9" s="121" customFormat="1" ht="14.5">
      <c r="A25" s="471">
        <v>2020</v>
      </c>
      <c r="B25" s="454" t="s">
        <v>231</v>
      </c>
      <c r="C25" s="170">
        <v>248</v>
      </c>
      <c r="D25" s="170">
        <v>305</v>
      </c>
      <c r="E25" s="170">
        <v>254</v>
      </c>
      <c r="F25" s="170">
        <v>164</v>
      </c>
      <c r="G25" s="170">
        <v>225</v>
      </c>
      <c r="H25" s="170" t="s">
        <v>296</v>
      </c>
    </row>
    <row r="26" spans="1:9" s="121" customFormat="1" ht="14.5">
      <c r="A26" s="472"/>
      <c r="B26" s="455" t="s">
        <v>232</v>
      </c>
      <c r="C26" s="166">
        <v>247.30699999999999</v>
      </c>
      <c r="D26" s="166">
        <v>266.5</v>
      </c>
      <c r="E26" s="166">
        <v>280</v>
      </c>
      <c r="F26" s="166">
        <v>165</v>
      </c>
      <c r="G26" s="166">
        <v>233</v>
      </c>
      <c r="H26" s="166">
        <v>90</v>
      </c>
    </row>
    <row r="27" spans="1:9" s="121" customFormat="1" ht="14.5">
      <c r="A27" s="472"/>
      <c r="B27" s="455" t="s">
        <v>233</v>
      </c>
      <c r="C27" s="166">
        <v>240</v>
      </c>
      <c r="D27" s="166">
        <v>270</v>
      </c>
      <c r="E27" s="166">
        <v>248</v>
      </c>
      <c r="F27" s="166">
        <v>200</v>
      </c>
      <c r="G27" s="166">
        <v>215</v>
      </c>
      <c r="H27" s="166">
        <v>152</v>
      </c>
    </row>
    <row r="28" spans="1:9" s="121" customFormat="1" ht="14.5">
      <c r="A28" s="473"/>
      <c r="B28" s="456" t="s">
        <v>234</v>
      </c>
      <c r="C28" s="168">
        <v>250</v>
      </c>
      <c r="D28" s="168">
        <v>290</v>
      </c>
      <c r="E28" s="168">
        <v>250</v>
      </c>
      <c r="F28" s="168">
        <v>205</v>
      </c>
      <c r="G28" s="168">
        <v>222</v>
      </c>
      <c r="H28" s="168">
        <v>72.5</v>
      </c>
    </row>
    <row r="29" spans="1:9" s="121" customFormat="1" ht="14.5">
      <c r="A29" s="471">
        <v>2021</v>
      </c>
      <c r="B29" s="454" t="s">
        <v>231</v>
      </c>
      <c r="C29" s="170">
        <v>249.5</v>
      </c>
      <c r="D29" s="170">
        <v>285</v>
      </c>
      <c r="E29" s="170">
        <v>179</v>
      </c>
      <c r="F29" s="170">
        <v>217.5</v>
      </c>
      <c r="G29" s="170">
        <v>218</v>
      </c>
      <c r="H29" s="170">
        <v>150</v>
      </c>
    </row>
    <row r="30" spans="1:9" s="121" customFormat="1" ht="14.5">
      <c r="A30" s="472"/>
      <c r="B30" s="455" t="s">
        <v>232</v>
      </c>
      <c r="C30" s="232">
        <v>282</v>
      </c>
      <c r="D30" s="232">
        <v>299</v>
      </c>
      <c r="E30" s="232">
        <v>280</v>
      </c>
      <c r="F30" s="166">
        <v>215</v>
      </c>
      <c r="G30" s="166">
        <v>272</v>
      </c>
      <c r="H30" s="166">
        <v>99</v>
      </c>
    </row>
    <row r="31" spans="1:9" s="121" customFormat="1" ht="14.5">
      <c r="A31" s="472"/>
      <c r="B31" s="455" t="s">
        <v>233</v>
      </c>
      <c r="C31" s="166">
        <v>250</v>
      </c>
      <c r="D31" s="166">
        <v>258</v>
      </c>
      <c r="E31" s="166">
        <v>260</v>
      </c>
      <c r="F31" s="166">
        <v>197.5</v>
      </c>
      <c r="G31" s="166">
        <v>250</v>
      </c>
      <c r="H31" s="166" t="s">
        <v>296</v>
      </c>
    </row>
    <row r="32" spans="1:9" s="121" customFormat="1" ht="14.5">
      <c r="A32" s="473"/>
      <c r="B32" s="456" t="s">
        <v>234</v>
      </c>
      <c r="C32" s="587">
        <v>268</v>
      </c>
      <c r="D32" s="168">
        <v>298</v>
      </c>
      <c r="E32" s="168">
        <v>250</v>
      </c>
      <c r="F32" s="168">
        <v>211</v>
      </c>
      <c r="G32" s="168">
        <v>240</v>
      </c>
      <c r="H32" s="168">
        <v>187.5</v>
      </c>
    </row>
    <row r="33" spans="1:8" s="121" customFormat="1" ht="14.5">
      <c r="A33" s="471">
        <v>2022</v>
      </c>
      <c r="B33" s="454" t="s">
        <v>231</v>
      </c>
      <c r="C33" s="170">
        <v>242.5</v>
      </c>
      <c r="D33" s="170">
        <v>270</v>
      </c>
      <c r="E33" s="170">
        <v>250</v>
      </c>
      <c r="F33" s="170">
        <v>203</v>
      </c>
      <c r="G33" s="170">
        <v>223</v>
      </c>
      <c r="H33" s="170" t="s">
        <v>296</v>
      </c>
    </row>
    <row r="34" spans="1:8" s="121" customFormat="1" ht="14.5">
      <c r="A34" s="472"/>
      <c r="B34" s="455" t="s">
        <v>232</v>
      </c>
      <c r="C34" s="166">
        <v>247.5</v>
      </c>
      <c r="D34" s="166">
        <v>270</v>
      </c>
      <c r="E34" s="166">
        <v>250</v>
      </c>
      <c r="F34" s="166">
        <v>211.8</v>
      </c>
      <c r="G34" s="166">
        <v>400</v>
      </c>
      <c r="H34" s="166">
        <v>122</v>
      </c>
    </row>
    <row r="35" spans="1:8" s="121" customFormat="1" ht="14.5">
      <c r="A35" s="472"/>
      <c r="B35" s="455" t="s">
        <v>233</v>
      </c>
      <c r="C35" s="166">
        <v>260</v>
      </c>
      <c r="D35" s="166">
        <v>285</v>
      </c>
      <c r="E35" s="166">
        <v>275</v>
      </c>
      <c r="F35" s="166">
        <v>212.5</v>
      </c>
      <c r="G35" s="166">
        <v>316</v>
      </c>
      <c r="H35" s="166" t="s">
        <v>296</v>
      </c>
    </row>
    <row r="36" spans="1:8" s="121" customFormat="1" ht="14.5">
      <c r="A36" s="473"/>
      <c r="B36" s="456" t="s">
        <v>234</v>
      </c>
      <c r="C36" s="168">
        <v>260</v>
      </c>
      <c r="D36" s="168">
        <v>290</v>
      </c>
      <c r="E36" s="168">
        <v>280</v>
      </c>
      <c r="F36" s="168">
        <v>215</v>
      </c>
      <c r="G36" s="168">
        <v>230</v>
      </c>
      <c r="H36" s="168">
        <v>470</v>
      </c>
    </row>
    <row r="37" spans="1:8" s="121" customFormat="1" ht="14.5">
      <c r="A37" s="471">
        <v>2023</v>
      </c>
      <c r="B37" s="454" t="s">
        <v>231</v>
      </c>
      <c r="C37" s="170">
        <v>251</v>
      </c>
      <c r="D37" s="170">
        <v>278</v>
      </c>
      <c r="E37" s="170">
        <v>275</v>
      </c>
      <c r="F37" s="170">
        <v>213</v>
      </c>
      <c r="G37" s="170">
        <v>467</v>
      </c>
      <c r="H37" s="170">
        <v>65</v>
      </c>
    </row>
    <row r="38" spans="1:8" s="121" customFormat="1" ht="14.5">
      <c r="A38" s="472"/>
      <c r="B38" s="455" t="s">
        <v>232</v>
      </c>
      <c r="C38" s="166">
        <v>247</v>
      </c>
      <c r="D38" s="166">
        <v>309</v>
      </c>
      <c r="E38" s="166">
        <v>269</v>
      </c>
      <c r="F38" s="166">
        <v>200</v>
      </c>
      <c r="G38" s="166">
        <v>235</v>
      </c>
      <c r="H38" s="166">
        <v>165</v>
      </c>
    </row>
    <row r="39" spans="1:8" s="121" customFormat="1" ht="14.5">
      <c r="A39" s="472"/>
      <c r="B39" s="455" t="s">
        <v>233</v>
      </c>
      <c r="C39" s="166">
        <v>258</v>
      </c>
      <c r="D39" s="166">
        <v>284</v>
      </c>
      <c r="E39" s="166">
        <v>270</v>
      </c>
      <c r="F39" s="166">
        <v>214</v>
      </c>
      <c r="G39" s="166">
        <v>212</v>
      </c>
      <c r="H39" s="166" t="s">
        <v>296</v>
      </c>
    </row>
    <row r="40" spans="1:8" s="121" customFormat="1" ht="14.5">
      <c r="A40" s="473"/>
      <c r="B40" s="456" t="s">
        <v>234</v>
      </c>
      <c r="C40" s="168">
        <v>260</v>
      </c>
      <c r="D40" s="168">
        <v>278</v>
      </c>
      <c r="E40" s="168">
        <v>261</v>
      </c>
      <c r="F40" s="168">
        <v>200.5</v>
      </c>
      <c r="G40" s="168">
        <v>195</v>
      </c>
      <c r="H40" s="168" t="s">
        <v>296</v>
      </c>
    </row>
    <row r="41" spans="1:8" s="121" customFormat="1" ht="14.5">
      <c r="A41" s="471">
        <v>2024</v>
      </c>
      <c r="B41" s="454" t="s">
        <v>231</v>
      </c>
      <c r="C41" s="170">
        <v>245</v>
      </c>
      <c r="D41" s="170">
        <v>276.5</v>
      </c>
      <c r="E41" s="170">
        <v>245</v>
      </c>
      <c r="F41" s="170">
        <v>215</v>
      </c>
      <c r="G41" s="170">
        <v>235</v>
      </c>
      <c r="H41" s="170" t="s">
        <v>296</v>
      </c>
    </row>
    <row r="42" spans="1:8" s="121" customFormat="1" ht="14.5">
      <c r="A42" s="472"/>
      <c r="B42" s="455" t="s">
        <v>232</v>
      </c>
      <c r="C42" s="166">
        <v>250</v>
      </c>
      <c r="D42" s="166">
        <v>275</v>
      </c>
      <c r="E42" s="166">
        <v>289</v>
      </c>
      <c r="F42" s="166">
        <v>209</v>
      </c>
      <c r="G42" s="166" t="s">
        <v>296</v>
      </c>
      <c r="H42" s="166" t="s">
        <v>296</v>
      </c>
    </row>
    <row r="43" spans="1:8" s="121" customFormat="1" ht="14.5">
      <c r="A43" s="472"/>
      <c r="B43" s="455" t="s">
        <v>233</v>
      </c>
      <c r="C43" s="166">
        <v>250</v>
      </c>
      <c r="D43" s="166">
        <v>256</v>
      </c>
      <c r="E43" s="166">
        <v>265</v>
      </c>
      <c r="F43" s="166">
        <v>193.5</v>
      </c>
      <c r="G43" s="166">
        <v>305</v>
      </c>
      <c r="H43" s="166">
        <v>152</v>
      </c>
    </row>
    <row r="44" spans="1:8" s="121" customFormat="1" ht="14.5">
      <c r="A44" s="473"/>
      <c r="B44" s="456" t="s">
        <v>234</v>
      </c>
      <c r="C44" s="168">
        <v>235.5</v>
      </c>
      <c r="D44" s="168">
        <v>259</v>
      </c>
      <c r="E44" s="168">
        <v>185.5</v>
      </c>
      <c r="F44" s="168">
        <v>198</v>
      </c>
      <c r="G44" s="168">
        <v>332.5</v>
      </c>
      <c r="H44" s="168">
        <v>150</v>
      </c>
    </row>
    <row r="45" spans="1:8" s="121" customFormat="1" ht="14.5">
      <c r="A45" s="471">
        <v>2025</v>
      </c>
      <c r="B45" s="454" t="s">
        <v>231</v>
      </c>
      <c r="C45" s="170">
        <v>215</v>
      </c>
      <c r="D45" s="170">
        <v>230</v>
      </c>
      <c r="E45" s="170">
        <v>220</v>
      </c>
      <c r="F45" s="170">
        <v>225</v>
      </c>
      <c r="G45" s="170">
        <v>137</v>
      </c>
      <c r="H45" s="170" t="s">
        <v>296</v>
      </c>
    </row>
    <row r="46" spans="1:8" s="121" customFormat="1" ht="14.5">
      <c r="A46" s="473"/>
      <c r="B46" s="456" t="s">
        <v>232</v>
      </c>
      <c r="C46" s="168">
        <v>254</v>
      </c>
      <c r="D46" s="168">
        <v>278.5</v>
      </c>
      <c r="E46" s="168">
        <v>198.5</v>
      </c>
      <c r="F46" s="168">
        <v>230</v>
      </c>
      <c r="G46" s="168">
        <v>206</v>
      </c>
      <c r="H46" s="168">
        <v>110</v>
      </c>
    </row>
    <row r="47" spans="1:8">
      <c r="B47" s="67"/>
    </row>
    <row r="48" spans="1:8">
      <c r="A48" s="491" t="s">
        <v>118</v>
      </c>
    </row>
    <row r="49" spans="1:8">
      <c r="A49" s="475" t="s">
        <v>297</v>
      </c>
      <c r="F49" s="80"/>
    </row>
    <row r="50" spans="1:8" ht="12" customHeight="1">
      <c r="A50" s="488" t="s">
        <v>168</v>
      </c>
    </row>
    <row r="52" spans="1:8">
      <c r="C52" s="80"/>
      <c r="D52" s="80"/>
      <c r="E52" s="80"/>
      <c r="F52" s="80"/>
      <c r="G52" s="80"/>
      <c r="H52" s="80"/>
    </row>
    <row r="53" spans="1:8">
      <c r="C53" s="80"/>
      <c r="D53" s="80"/>
      <c r="E53" s="80"/>
      <c r="F53" s="80"/>
      <c r="G53" s="80"/>
      <c r="H53" s="80"/>
    </row>
    <row r="55" spans="1:8">
      <c r="D55" s="491"/>
    </row>
    <row r="56" spans="1:8">
      <c r="D56" s="475"/>
    </row>
    <row r="57" spans="1:8">
      <c r="D57" s="475"/>
    </row>
    <row r="58" spans="1:8">
      <c r="D58" s="475"/>
    </row>
  </sheetData>
  <sheetProtection formatCells="0" insertColumns="0" insertRows="0" deleteColumns="0" deleteRows="0"/>
  <mergeCells count="3">
    <mergeCell ref="A2:H2"/>
    <mergeCell ref="A3:B4"/>
    <mergeCell ref="C3:H3"/>
  </mergeCells>
  <printOptions horizontalCentered="1"/>
  <pageMargins left="0.7" right="0.7" top="0.75" bottom="0.75" header="0.3" footer="0.3"/>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0"/>
  <sheetViews>
    <sheetView zoomScaleNormal="100" workbookViewId="0"/>
  </sheetViews>
  <sheetFormatPr defaultColWidth="9.1796875" defaultRowHeight="13"/>
  <cols>
    <col min="1" max="1" width="7.81640625" style="65" customWidth="1"/>
    <col min="2" max="2" width="7.453125" style="65" customWidth="1"/>
    <col min="3" max="3" width="15" style="65" customWidth="1"/>
    <col min="4" max="12" width="13.81640625" style="65" customWidth="1"/>
    <col min="13" max="16384" width="9.1796875" style="65"/>
  </cols>
  <sheetData>
    <row r="1" spans="1:3">
      <c r="A1" s="533" t="s">
        <v>313</v>
      </c>
    </row>
    <row r="3" spans="1:3">
      <c r="A3" s="763" t="s">
        <v>314</v>
      </c>
      <c r="B3" s="763"/>
      <c r="C3" s="763"/>
    </row>
    <row r="4" spans="1:3" s="91" customFormat="1" ht="14.5">
      <c r="A4" s="736" t="s">
        <v>98</v>
      </c>
      <c r="B4" s="742"/>
      <c r="C4" s="478" t="s">
        <v>301</v>
      </c>
    </row>
    <row r="5" spans="1:3" s="91" customFormat="1" ht="14.5" hidden="1">
      <c r="A5" s="472">
        <v>2015</v>
      </c>
      <c r="B5" s="453" t="s">
        <v>231</v>
      </c>
      <c r="C5" s="122">
        <v>100</v>
      </c>
    </row>
    <row r="6" spans="1:3" s="91" customFormat="1" ht="14.5" hidden="1">
      <c r="A6" s="472"/>
      <c r="B6" s="450" t="s">
        <v>232</v>
      </c>
      <c r="C6" s="164">
        <v>96.152472428397857</v>
      </c>
    </row>
    <row r="7" spans="1:3" s="91" customFormat="1" ht="14.5" hidden="1">
      <c r="A7" s="472"/>
      <c r="B7" s="450" t="s">
        <v>233</v>
      </c>
      <c r="C7" s="164">
        <v>99.59691457898613</v>
      </c>
    </row>
    <row r="8" spans="1:3" s="91" customFormat="1" ht="14.5" hidden="1">
      <c r="A8" s="473"/>
      <c r="B8" s="452" t="s">
        <v>234</v>
      </c>
      <c r="C8" s="165">
        <v>94.473576910414295</v>
      </c>
    </row>
    <row r="9" spans="1:3" s="91" customFormat="1" ht="14.5" hidden="1">
      <c r="A9" s="472">
        <v>2016</v>
      </c>
      <c r="B9" s="453" t="s">
        <v>231</v>
      </c>
      <c r="C9" s="122">
        <v>91.674859923521595</v>
      </c>
    </row>
    <row r="10" spans="1:3" s="91" customFormat="1" ht="14.5" hidden="1">
      <c r="A10" s="472"/>
      <c r="B10" s="450" t="s">
        <v>232</v>
      </c>
      <c r="C10" s="164">
        <v>88.260986941784935</v>
      </c>
    </row>
    <row r="11" spans="1:3" s="91" customFormat="1" ht="14.5" hidden="1">
      <c r="A11" s="472"/>
      <c r="B11" s="450" t="s">
        <v>233</v>
      </c>
      <c r="C11" s="164">
        <v>93.968929085747575</v>
      </c>
    </row>
    <row r="12" spans="1:3" s="91" customFormat="1" ht="14.5" hidden="1">
      <c r="A12" s="473"/>
      <c r="B12" s="452" t="s">
        <v>234</v>
      </c>
      <c r="C12" s="165">
        <v>90.931837372900176</v>
      </c>
    </row>
    <row r="13" spans="1:3" s="91" customFormat="1" ht="14.5" hidden="1">
      <c r="A13" s="472">
        <v>2017</v>
      </c>
      <c r="B13" s="453" t="s">
        <v>231</v>
      </c>
      <c r="C13" s="122">
        <v>89.983847858775931</v>
      </c>
    </row>
    <row r="14" spans="1:3" s="91" customFormat="1" ht="14.5" hidden="1">
      <c r="A14" s="472"/>
      <c r="B14" s="450" t="s">
        <v>232</v>
      </c>
      <c r="C14" s="164">
        <v>99.963306733626212</v>
      </c>
    </row>
    <row r="15" spans="1:3" s="91" customFormat="1" ht="14.5" hidden="1">
      <c r="A15" s="472"/>
      <c r="B15" s="450" t="s">
        <v>233</v>
      </c>
      <c r="C15" s="164">
        <v>90.620384841220528</v>
      </c>
    </row>
    <row r="16" spans="1:3" s="91" customFormat="1" ht="14.5" hidden="1">
      <c r="A16" s="473"/>
      <c r="B16" s="452" t="s">
        <v>234</v>
      </c>
      <c r="C16" s="165">
        <v>94.939722098202168</v>
      </c>
    </row>
    <row r="17" spans="1:4" s="91" customFormat="1" ht="14.5" hidden="1">
      <c r="A17" s="471">
        <v>2018</v>
      </c>
      <c r="B17" s="453" t="s">
        <v>231</v>
      </c>
      <c r="C17" s="162">
        <v>87.281033790877046</v>
      </c>
    </row>
    <row r="18" spans="1:4" s="91" customFormat="1" ht="14.5" hidden="1">
      <c r="A18" s="472"/>
      <c r="B18" s="450" t="s">
        <v>232</v>
      </c>
      <c r="C18" s="163">
        <v>90.663536422623395</v>
      </c>
    </row>
    <row r="19" spans="1:4" s="91" customFormat="1" ht="14.5" hidden="1">
      <c r="A19" s="472"/>
      <c r="B19" s="450" t="s">
        <v>233</v>
      </c>
      <c r="C19" s="163">
        <v>85.452293741193401</v>
      </c>
    </row>
    <row r="20" spans="1:4" s="91" customFormat="1" ht="14.5" hidden="1">
      <c r="A20" s="473"/>
      <c r="B20" s="452" t="s">
        <v>234</v>
      </c>
      <c r="C20" s="158">
        <v>86.724398080774336</v>
      </c>
    </row>
    <row r="21" spans="1:4" s="91" customFormat="1" ht="14.5">
      <c r="A21" s="471">
        <v>2019</v>
      </c>
      <c r="B21" s="454" t="s">
        <v>231</v>
      </c>
      <c r="C21" s="122">
        <v>91.551155331460905</v>
      </c>
    </row>
    <row r="22" spans="1:4" s="91" customFormat="1" ht="14.5">
      <c r="A22" s="472"/>
      <c r="B22" s="455" t="s">
        <v>232</v>
      </c>
      <c r="C22" s="164">
        <v>89.22</v>
      </c>
    </row>
    <row r="23" spans="1:4" s="91" customFormat="1" ht="14.5">
      <c r="A23" s="472"/>
      <c r="B23" s="455" t="s">
        <v>233</v>
      </c>
      <c r="C23" s="164">
        <v>95.403099999999995</v>
      </c>
    </row>
    <row r="24" spans="1:4" s="91" customFormat="1" ht="14.5">
      <c r="A24" s="473"/>
      <c r="B24" s="456" t="s">
        <v>234</v>
      </c>
      <c r="C24" s="165">
        <v>95.251607520328179</v>
      </c>
    </row>
    <row r="25" spans="1:4" ht="14.5">
      <c r="A25" s="471">
        <v>2020</v>
      </c>
      <c r="B25" s="454" t="s">
        <v>231</v>
      </c>
      <c r="C25" s="122">
        <v>91.119505363649282</v>
      </c>
    </row>
    <row r="26" spans="1:4" ht="14.5">
      <c r="A26" s="472"/>
      <c r="B26" s="455" t="s">
        <v>232</v>
      </c>
      <c r="C26" s="164">
        <v>84.623151766668897</v>
      </c>
    </row>
    <row r="27" spans="1:4" ht="14.5">
      <c r="A27" s="472"/>
      <c r="B27" s="455" t="s">
        <v>233</v>
      </c>
      <c r="C27" s="164">
        <v>91.686201238802283</v>
      </c>
    </row>
    <row r="28" spans="1:4" ht="14.5">
      <c r="A28" s="473"/>
      <c r="B28" s="456" t="s">
        <v>234</v>
      </c>
      <c r="C28" s="165">
        <v>90.5611117452343</v>
      </c>
    </row>
    <row r="29" spans="1:4" ht="14.5">
      <c r="A29" s="471">
        <v>2021</v>
      </c>
      <c r="B29" s="454" t="s">
        <v>231</v>
      </c>
      <c r="C29" s="122">
        <v>92.808932515815002</v>
      </c>
      <c r="D29" s="71"/>
    </row>
    <row r="30" spans="1:4" ht="14.5">
      <c r="A30" s="472"/>
      <c r="B30" s="455" t="s">
        <v>232</v>
      </c>
      <c r="C30" s="603">
        <v>93.899765673219846</v>
      </c>
      <c r="D30" s="602"/>
    </row>
    <row r="31" spans="1:4" ht="14.5">
      <c r="A31" s="472"/>
      <c r="B31" s="455" t="s">
        <v>233</v>
      </c>
      <c r="C31" s="603">
        <v>93.131352647141398</v>
      </c>
      <c r="D31" s="602"/>
    </row>
    <row r="32" spans="1:4" ht="14.5">
      <c r="A32" s="473"/>
      <c r="B32" s="456" t="s">
        <v>234</v>
      </c>
      <c r="C32" s="604">
        <v>97.638403129749463</v>
      </c>
      <c r="D32" s="602"/>
    </row>
    <row r="33" spans="1:4" ht="14.5">
      <c r="A33" s="471">
        <v>2022</v>
      </c>
      <c r="B33" s="454" t="s">
        <v>231</v>
      </c>
      <c r="C33" s="609">
        <v>88.321705315755622</v>
      </c>
      <c r="D33" s="602"/>
    </row>
    <row r="34" spans="1:4" ht="14.5">
      <c r="A34" s="472"/>
      <c r="B34" s="455" t="s">
        <v>232</v>
      </c>
      <c r="C34" s="610">
        <v>93.075397520400301</v>
      </c>
      <c r="D34" s="71"/>
    </row>
    <row r="35" spans="1:4" ht="14.5">
      <c r="A35" s="472"/>
      <c r="B35" s="455" t="s">
        <v>233</v>
      </c>
      <c r="C35" s="610">
        <v>91.614072584775556</v>
      </c>
      <c r="D35" s="71"/>
    </row>
    <row r="36" spans="1:4" ht="14.5">
      <c r="A36" s="473"/>
      <c r="B36" s="456" t="s">
        <v>234</v>
      </c>
      <c r="C36" s="605">
        <v>98.3083424424306</v>
      </c>
      <c r="D36" s="71"/>
    </row>
    <row r="37" spans="1:4" ht="14.5">
      <c r="A37" s="471">
        <v>2023</v>
      </c>
      <c r="B37" s="454" t="s">
        <v>231</v>
      </c>
      <c r="C37" s="621">
        <v>96.504717264317733</v>
      </c>
      <c r="D37" s="71"/>
    </row>
    <row r="38" spans="1:4" ht="14.5">
      <c r="A38" s="472"/>
      <c r="B38" s="455" t="s">
        <v>232</v>
      </c>
      <c r="C38" s="610">
        <v>92.571367791018048</v>
      </c>
      <c r="D38" s="71"/>
    </row>
    <row r="39" spans="1:4" ht="14.5">
      <c r="A39" s="472"/>
      <c r="B39" s="455" t="s">
        <v>233</v>
      </c>
      <c r="C39" s="610">
        <v>97.750458629683379</v>
      </c>
      <c r="D39" s="71"/>
    </row>
    <row r="40" spans="1:4" ht="14.5">
      <c r="A40" s="473"/>
      <c r="B40" s="456" t="s">
        <v>234</v>
      </c>
      <c r="C40" s="605">
        <v>91.81814083801963</v>
      </c>
      <c r="D40" s="71"/>
    </row>
    <row r="41" spans="1:4" ht="14.5">
      <c r="A41" s="471">
        <v>2024</v>
      </c>
      <c r="B41" s="454" t="s">
        <v>231</v>
      </c>
      <c r="C41" s="621">
        <v>92.271451338033671</v>
      </c>
      <c r="D41" s="71"/>
    </row>
    <row r="42" spans="1:4" ht="14.5">
      <c r="A42" s="472"/>
      <c r="B42" s="455" t="s">
        <v>232</v>
      </c>
      <c r="C42" s="610">
        <v>95.05464187326271</v>
      </c>
      <c r="D42" s="71"/>
    </row>
    <row r="43" spans="1:4" ht="14.5">
      <c r="A43" s="472"/>
      <c r="B43" s="455" t="s">
        <v>233</v>
      </c>
      <c r="C43" s="610">
        <v>93.577306658926076</v>
      </c>
      <c r="D43" s="71"/>
    </row>
    <row r="44" spans="1:4" ht="14.5">
      <c r="A44" s="473"/>
      <c r="B44" s="456" t="s">
        <v>234</v>
      </c>
      <c r="C44" s="605">
        <v>89.506827193450363</v>
      </c>
      <c r="D44" s="71"/>
    </row>
    <row r="45" spans="1:4" ht="14.5">
      <c r="A45" s="471">
        <v>2025</v>
      </c>
      <c r="B45" s="454" t="s">
        <v>231</v>
      </c>
      <c r="C45" s="621">
        <v>87.8</v>
      </c>
      <c r="D45" s="71"/>
    </row>
    <row r="46" spans="1:4" ht="14.5">
      <c r="A46" s="473"/>
      <c r="B46" s="456" t="s">
        <v>232</v>
      </c>
      <c r="C46" s="605">
        <v>96.506069608326797</v>
      </c>
      <c r="D46" s="71"/>
    </row>
    <row r="47" spans="1:4">
      <c r="A47" s="554"/>
      <c r="B47" s="554"/>
    </row>
    <row r="48" spans="1:4">
      <c r="A48" s="491" t="s">
        <v>118</v>
      </c>
    </row>
    <row r="49" spans="1:1">
      <c r="A49" s="488" t="s">
        <v>168</v>
      </c>
    </row>
    <row r="50" spans="1:1">
      <c r="A50" s="491"/>
    </row>
  </sheetData>
  <sheetProtection formatCells="0" insertColumns="0" insertRows="0" deleteColumns="0" deleteRows="0"/>
  <mergeCells count="2">
    <mergeCell ref="A3:C3"/>
    <mergeCell ref="A4:B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00"/>
  <sheetViews>
    <sheetView zoomScaleNormal="100" workbookViewId="0">
      <pane ySplit="11" topLeftCell="A61" activePane="bottomLeft" state="frozen"/>
      <selection activeCell="J154" sqref="J154"/>
      <selection pane="bottomLeft" sqref="A1:L1"/>
    </sheetView>
  </sheetViews>
  <sheetFormatPr defaultColWidth="8.81640625" defaultRowHeight="13"/>
  <cols>
    <col min="1" max="1" width="8.81640625" style="411"/>
    <col min="2" max="3" width="13.54296875" style="411" customWidth="1"/>
    <col min="4" max="12" width="17.54296875" style="411" customWidth="1"/>
    <col min="13" max="16384" width="8.81640625" style="411"/>
  </cols>
  <sheetData>
    <row r="1" spans="1:12">
      <c r="A1" s="716" t="s">
        <v>315</v>
      </c>
      <c r="B1" s="716"/>
      <c r="C1" s="716"/>
      <c r="D1" s="716"/>
      <c r="E1" s="716"/>
      <c r="F1" s="716"/>
      <c r="G1" s="716"/>
      <c r="H1" s="716"/>
      <c r="I1" s="716"/>
      <c r="J1" s="716"/>
      <c r="K1" s="716"/>
      <c r="L1" s="716"/>
    </row>
    <row r="2" spans="1:12">
      <c r="A2" s="68"/>
      <c r="B2" s="65"/>
      <c r="C2" s="65"/>
      <c r="D2" s="65"/>
      <c r="E2" s="65"/>
      <c r="F2" s="65"/>
      <c r="G2" s="65"/>
      <c r="H2" s="65"/>
      <c r="I2" s="65"/>
      <c r="J2" s="65"/>
      <c r="K2" s="65"/>
      <c r="L2" s="65"/>
    </row>
    <row r="3" spans="1:12" ht="14.5">
      <c r="A3" s="857" t="s">
        <v>316</v>
      </c>
      <c r="B3" s="857"/>
      <c r="C3" s="858" t="s">
        <v>317</v>
      </c>
      <c r="D3" s="859"/>
      <c r="E3" s="859"/>
      <c r="F3" s="860"/>
      <c r="G3" s="91"/>
      <c r="H3" s="91"/>
      <c r="I3" s="91"/>
      <c r="J3" s="91"/>
      <c r="K3" s="91"/>
      <c r="L3" s="91"/>
    </row>
    <row r="4" spans="1:12">
      <c r="A4" s="861" t="s">
        <v>318</v>
      </c>
      <c r="B4" s="861"/>
      <c r="C4" s="862" t="s">
        <v>319</v>
      </c>
      <c r="D4" s="862"/>
      <c r="E4" s="862"/>
      <c r="F4" s="862"/>
      <c r="G4" s="91"/>
      <c r="H4" s="91"/>
      <c r="I4" s="91"/>
      <c r="J4" s="91"/>
      <c r="K4" s="91"/>
      <c r="L4" s="91"/>
    </row>
    <row r="5" spans="1:12">
      <c r="A5" s="861">
        <v>50</v>
      </c>
      <c r="B5" s="861"/>
      <c r="C5" s="862" t="s">
        <v>320</v>
      </c>
      <c r="D5" s="862"/>
      <c r="E5" s="862"/>
      <c r="F5" s="862"/>
      <c r="G5" s="91"/>
      <c r="H5" s="91"/>
      <c r="I5" s="91"/>
      <c r="J5" s="91"/>
      <c r="K5" s="91"/>
      <c r="L5" s="91"/>
    </row>
    <row r="6" spans="1:12">
      <c r="A6" s="861" t="s">
        <v>321</v>
      </c>
      <c r="B6" s="861"/>
      <c r="C6" s="862" t="s">
        <v>322</v>
      </c>
      <c r="D6" s="862"/>
      <c r="E6" s="862"/>
      <c r="F6" s="862"/>
      <c r="G6" s="91"/>
      <c r="H6" s="91"/>
      <c r="I6" s="91"/>
      <c r="J6" s="91"/>
      <c r="K6" s="91"/>
      <c r="L6" s="91"/>
    </row>
    <row r="7" spans="1:12">
      <c r="A7" s="622"/>
      <c r="B7" s="622"/>
      <c r="C7" s="623"/>
      <c r="D7" s="623"/>
      <c r="E7" s="623"/>
      <c r="F7" s="623"/>
      <c r="G7" s="91"/>
      <c r="H7" s="91"/>
      <c r="I7" s="91"/>
      <c r="J7" s="91"/>
      <c r="K7" s="91"/>
      <c r="L7" s="91"/>
    </row>
    <row r="8" spans="1:12">
      <c r="A8" s="867" t="s">
        <v>323</v>
      </c>
      <c r="B8" s="867"/>
      <c r="C8" s="867"/>
      <c r="D8" s="867"/>
      <c r="E8" s="867"/>
      <c r="F8" s="867"/>
      <c r="G8" s="867"/>
      <c r="H8" s="867"/>
      <c r="I8" s="867"/>
      <c r="J8" s="867"/>
      <c r="K8" s="867"/>
      <c r="L8" s="867"/>
    </row>
    <row r="10" spans="1:12" ht="14.5">
      <c r="A10" s="735" t="s">
        <v>98</v>
      </c>
      <c r="B10" s="739"/>
      <c r="C10" s="863" t="s">
        <v>324</v>
      </c>
      <c r="D10" s="864" t="s">
        <v>325</v>
      </c>
      <c r="E10" s="865"/>
      <c r="F10" s="865"/>
      <c r="G10" s="865"/>
      <c r="H10" s="865"/>
      <c r="I10" s="865"/>
      <c r="J10" s="865"/>
      <c r="K10" s="865"/>
      <c r="L10" s="866"/>
    </row>
    <row r="11" spans="1:12" ht="29">
      <c r="A11" s="736"/>
      <c r="B11" s="742"/>
      <c r="C11" s="738"/>
      <c r="D11" s="556" t="s">
        <v>326</v>
      </c>
      <c r="E11" s="556" t="s">
        <v>327</v>
      </c>
      <c r="F11" s="556" t="s">
        <v>328</v>
      </c>
      <c r="G11" s="556" t="s">
        <v>329</v>
      </c>
      <c r="H11" s="556" t="s">
        <v>330</v>
      </c>
      <c r="I11" s="556" t="s">
        <v>331</v>
      </c>
      <c r="J11" s="557" t="s">
        <v>332</v>
      </c>
      <c r="K11" s="557" t="s">
        <v>333</v>
      </c>
      <c r="L11" s="557" t="s">
        <v>334</v>
      </c>
    </row>
    <row r="12" spans="1:12" ht="14.5">
      <c r="A12" s="471">
        <v>2020</v>
      </c>
      <c r="B12" s="558" t="s">
        <v>112</v>
      </c>
      <c r="C12" s="403">
        <v>50</v>
      </c>
      <c r="D12" s="402">
        <v>50.130017682514506</v>
      </c>
      <c r="E12" s="403">
        <v>50.227440039951787</v>
      </c>
      <c r="F12" s="403">
        <v>50.227066505417213</v>
      </c>
      <c r="G12" s="403">
        <v>50.054039847654415</v>
      </c>
      <c r="H12" s="403">
        <v>50.255032817209987</v>
      </c>
      <c r="I12" s="403">
        <v>50.162964175294526</v>
      </c>
      <c r="J12" s="403">
        <v>50.2371202228735</v>
      </c>
      <c r="K12" s="403">
        <v>50.207477409430339</v>
      </c>
      <c r="L12" s="402">
        <v>50.236982888701064</v>
      </c>
    </row>
    <row r="13" spans="1:12" ht="14.5">
      <c r="A13" s="472"/>
      <c r="B13" s="559" t="s">
        <v>113</v>
      </c>
      <c r="C13" s="405">
        <v>50</v>
      </c>
      <c r="D13" s="404">
        <v>50.508625267825586</v>
      </c>
      <c r="E13" s="405">
        <v>49.897078745807178</v>
      </c>
      <c r="F13" s="405">
        <v>50.095374713022331</v>
      </c>
      <c r="G13" s="405">
        <v>49.730286018934088</v>
      </c>
      <c r="H13" s="405">
        <v>50.54828880987489</v>
      </c>
      <c r="I13" s="405">
        <v>49.667431088688843</v>
      </c>
      <c r="J13" s="405">
        <v>50.266180646328905</v>
      </c>
      <c r="K13" s="405">
        <v>50.059918932563626</v>
      </c>
      <c r="L13" s="404">
        <v>49.942053808562569</v>
      </c>
    </row>
    <row r="14" spans="1:12" ht="14.5">
      <c r="A14" s="472"/>
      <c r="B14" s="559" t="s">
        <v>114</v>
      </c>
      <c r="C14" s="405">
        <v>50</v>
      </c>
      <c r="D14" s="404">
        <v>50.065361903367872</v>
      </c>
      <c r="E14" s="405">
        <v>50.406019895687848</v>
      </c>
      <c r="F14" s="405">
        <v>49.519943404252722</v>
      </c>
      <c r="G14" s="405">
        <v>50.101145510323178</v>
      </c>
      <c r="H14" s="405">
        <v>50.636027526026147</v>
      </c>
      <c r="I14" s="405">
        <v>50.131987069915681</v>
      </c>
      <c r="J14" s="405">
        <v>50.158132523402166</v>
      </c>
      <c r="K14" s="405">
        <v>50.048658447884485</v>
      </c>
      <c r="L14" s="404">
        <v>50.0205435048872</v>
      </c>
    </row>
    <row r="15" spans="1:12" ht="14.5">
      <c r="A15" s="472"/>
      <c r="B15" s="559" t="s">
        <v>115</v>
      </c>
      <c r="C15" s="405">
        <v>50</v>
      </c>
      <c r="D15" s="404">
        <v>50.005256436145345</v>
      </c>
      <c r="E15" s="405">
        <v>50.296828422780457</v>
      </c>
      <c r="F15" s="405">
        <v>49.729283863857887</v>
      </c>
      <c r="G15" s="405">
        <v>50.068449704893816</v>
      </c>
      <c r="H15" s="405">
        <v>50.542033080830933</v>
      </c>
      <c r="I15" s="405">
        <v>50.198441736160838</v>
      </c>
      <c r="J15" s="405">
        <v>50.214964344808322</v>
      </c>
      <c r="K15" s="405">
        <v>50.011382218437113</v>
      </c>
      <c r="L15" s="404">
        <v>50.049802438930591</v>
      </c>
    </row>
    <row r="16" spans="1:12" ht="14.5">
      <c r="A16" s="473"/>
      <c r="B16" s="560" t="s">
        <v>116</v>
      </c>
      <c r="C16" s="407">
        <v>50</v>
      </c>
      <c r="D16" s="406">
        <v>50.080898002398534</v>
      </c>
      <c r="E16" s="407">
        <v>50.577898440013755</v>
      </c>
      <c r="F16" s="407">
        <v>50.010046776623355</v>
      </c>
      <c r="G16" s="407">
        <v>50.095694405194934</v>
      </c>
      <c r="H16" s="407">
        <v>50.59417602158436</v>
      </c>
      <c r="I16" s="407">
        <v>50.223758002941089</v>
      </c>
      <c r="J16" s="407">
        <v>50.314536874581023</v>
      </c>
      <c r="K16" s="407">
        <v>50.177691706035219</v>
      </c>
      <c r="L16" s="406">
        <v>49.787597710177153</v>
      </c>
    </row>
    <row r="17" spans="1:12" ht="14.5">
      <c r="A17" s="471">
        <v>2021</v>
      </c>
      <c r="B17" s="558" t="s">
        <v>105</v>
      </c>
      <c r="C17" s="403">
        <v>50</v>
      </c>
      <c r="D17" s="402">
        <v>50.191223878334903</v>
      </c>
      <c r="E17" s="403">
        <v>50.441811675005987</v>
      </c>
      <c r="F17" s="403">
        <v>50.090821324623832</v>
      </c>
      <c r="G17" s="403">
        <v>49.601648333633719</v>
      </c>
      <c r="H17" s="403">
        <v>50.289999462822422</v>
      </c>
      <c r="I17" s="403">
        <v>50.2419782687316</v>
      </c>
      <c r="J17" s="403">
        <v>50.245136341565058</v>
      </c>
      <c r="K17" s="403">
        <v>49.778056967492986</v>
      </c>
      <c r="L17" s="402">
        <v>50.100089599375082</v>
      </c>
    </row>
    <row r="18" spans="1:12" ht="14.5">
      <c r="A18" s="472"/>
      <c r="B18" s="559" t="s">
        <v>106</v>
      </c>
      <c r="C18" s="405">
        <v>50</v>
      </c>
      <c r="D18" s="404">
        <v>50.634484223504451</v>
      </c>
      <c r="E18" s="405">
        <v>50.678024650400644</v>
      </c>
      <c r="F18" s="405">
        <v>50.038117272966261</v>
      </c>
      <c r="G18" s="405">
        <v>50.630487612808622</v>
      </c>
      <c r="H18" s="405">
        <v>50.107256761093936</v>
      </c>
      <c r="I18" s="405">
        <v>50.078751735689643</v>
      </c>
      <c r="J18" s="405">
        <v>50.692806920241388</v>
      </c>
      <c r="K18" s="405">
        <v>50.083919198628401</v>
      </c>
      <c r="L18" s="404">
        <v>50.082015885457871</v>
      </c>
    </row>
    <row r="19" spans="1:12" ht="14.5">
      <c r="A19" s="472"/>
      <c r="B19" s="559" t="s">
        <v>107</v>
      </c>
      <c r="C19" s="405">
        <v>50</v>
      </c>
      <c r="D19" s="404">
        <v>50.539736999237483</v>
      </c>
      <c r="E19" s="405">
        <v>50.533996711365596</v>
      </c>
      <c r="F19" s="405">
        <v>49.974713544201919</v>
      </c>
      <c r="G19" s="405">
        <v>50.369094699493658</v>
      </c>
      <c r="H19" s="405">
        <v>50.638336152232952</v>
      </c>
      <c r="I19" s="405">
        <v>50.186413118951734</v>
      </c>
      <c r="J19" s="405">
        <v>50.204031832206638</v>
      </c>
      <c r="K19" s="405">
        <v>50.043285793948151</v>
      </c>
      <c r="L19" s="404">
        <v>50.249617210780606</v>
      </c>
    </row>
    <row r="20" spans="1:12" ht="14.5">
      <c r="A20" s="472"/>
      <c r="B20" s="559" t="s">
        <v>108</v>
      </c>
      <c r="C20" s="405">
        <v>50</v>
      </c>
      <c r="D20" s="404">
        <v>50.434928451170997</v>
      </c>
      <c r="E20" s="405">
        <v>50.350520981267579</v>
      </c>
      <c r="F20" s="405">
        <v>49.987934989182335</v>
      </c>
      <c r="G20" s="405">
        <v>50.485590783709895</v>
      </c>
      <c r="H20" s="405">
        <v>50.202133737547662</v>
      </c>
      <c r="I20" s="405">
        <v>50.135109159892679</v>
      </c>
      <c r="J20" s="405">
        <v>50.165865993992334</v>
      </c>
      <c r="K20" s="405">
        <v>50.199530906973301</v>
      </c>
      <c r="L20" s="404">
        <v>50.021028712712287</v>
      </c>
    </row>
    <row r="21" spans="1:12" ht="14.5">
      <c r="A21" s="472"/>
      <c r="B21" s="559" t="s">
        <v>109</v>
      </c>
      <c r="C21" s="405">
        <v>50</v>
      </c>
      <c r="D21" s="404">
        <v>49.993650253825955</v>
      </c>
      <c r="E21" s="405">
        <v>50.531161872298384</v>
      </c>
      <c r="F21" s="405">
        <v>50.120786071120598</v>
      </c>
      <c r="G21" s="405">
        <v>50.404740640381007</v>
      </c>
      <c r="H21" s="405">
        <v>50.339585229457803</v>
      </c>
      <c r="I21" s="405">
        <v>50.125359980117693</v>
      </c>
      <c r="J21" s="405">
        <v>50.131720258388107</v>
      </c>
      <c r="K21" s="405">
        <v>50.036729714609798</v>
      </c>
      <c r="L21" s="404">
        <v>50.220469659255684</v>
      </c>
    </row>
    <row r="22" spans="1:12" ht="14.5">
      <c r="A22" s="472"/>
      <c r="B22" s="559" t="s">
        <v>110</v>
      </c>
      <c r="C22" s="405">
        <v>50</v>
      </c>
      <c r="D22" s="404">
        <v>50.125919049872728</v>
      </c>
      <c r="E22" s="405">
        <v>50.003487012377498</v>
      </c>
      <c r="F22" s="405">
        <v>50.01697107495545</v>
      </c>
      <c r="G22" s="405">
        <v>50.054244236643385</v>
      </c>
      <c r="H22" s="405">
        <v>50.225306618957219</v>
      </c>
      <c r="I22" s="405">
        <v>50.183045523161773</v>
      </c>
      <c r="J22" s="405">
        <v>50.166364309914769</v>
      </c>
      <c r="K22" s="405">
        <v>50.073137806474655</v>
      </c>
      <c r="L22" s="404">
        <v>50.188173334457183</v>
      </c>
    </row>
    <row r="23" spans="1:12" ht="14.5">
      <c r="A23" s="472"/>
      <c r="B23" s="559" t="s">
        <v>117</v>
      </c>
      <c r="C23" s="405">
        <v>50</v>
      </c>
      <c r="D23" s="404">
        <v>50.021500240882652</v>
      </c>
      <c r="E23" s="405">
        <v>50</v>
      </c>
      <c r="F23" s="405">
        <v>50.202333167772466</v>
      </c>
      <c r="G23" s="405">
        <v>50.101268242679915</v>
      </c>
      <c r="H23" s="405">
        <v>50.658906900696728</v>
      </c>
      <c r="I23" s="405">
        <v>50.112661085905707</v>
      </c>
      <c r="J23" s="405">
        <v>50.108876232714394</v>
      </c>
      <c r="K23" s="405">
        <v>50.214532547921344</v>
      </c>
      <c r="L23" s="404">
        <v>50.087587877235009</v>
      </c>
    </row>
    <row r="24" spans="1:12" ht="14.5">
      <c r="A24" s="472"/>
      <c r="B24" s="559" t="s">
        <v>112</v>
      </c>
      <c r="C24" s="405">
        <v>50</v>
      </c>
      <c r="D24" s="404">
        <v>50.2662490022336</v>
      </c>
      <c r="E24" s="405">
        <v>49.719093673582378</v>
      </c>
      <c r="F24" s="405">
        <v>49.80688304101286</v>
      </c>
      <c r="G24" s="405">
        <v>50.236604627754353</v>
      </c>
      <c r="H24" s="405">
        <v>50.522428509772638</v>
      </c>
      <c r="I24" s="405">
        <v>50.171708062311254</v>
      </c>
      <c r="J24" s="405">
        <v>50.142513110170093</v>
      </c>
      <c r="K24" s="405">
        <v>50.339533561051745</v>
      </c>
      <c r="L24" s="404">
        <v>50.056925287627934</v>
      </c>
    </row>
    <row r="25" spans="1:12" ht="14.5">
      <c r="A25" s="472"/>
      <c r="B25" s="559" t="s">
        <v>113</v>
      </c>
      <c r="C25" s="405">
        <v>50</v>
      </c>
      <c r="D25" s="404">
        <v>49.255052069212297</v>
      </c>
      <c r="E25" s="405">
        <v>50.104227183586161</v>
      </c>
      <c r="F25" s="405">
        <v>49.54365332189218</v>
      </c>
      <c r="G25" s="405">
        <v>50.170781994010454</v>
      </c>
      <c r="H25" s="405">
        <v>50.484930622291508</v>
      </c>
      <c r="I25" s="405">
        <v>50.211103711364274</v>
      </c>
      <c r="J25" s="405">
        <v>50.243382293780293</v>
      </c>
      <c r="K25" s="405">
        <v>50.516845617155802</v>
      </c>
      <c r="L25" s="404">
        <v>50.038612667703063</v>
      </c>
    </row>
    <row r="26" spans="1:12" ht="14.5">
      <c r="A26" s="472"/>
      <c r="B26" s="559" t="s">
        <v>114</v>
      </c>
      <c r="C26" s="405">
        <v>50</v>
      </c>
      <c r="D26" s="404">
        <v>50.345561115588332</v>
      </c>
      <c r="E26" s="405">
        <v>49.515585344858373</v>
      </c>
      <c r="F26" s="405">
        <v>49.775108121147305</v>
      </c>
      <c r="G26" s="405">
        <v>50.151092346578828</v>
      </c>
      <c r="H26" s="405">
        <v>50.412278597101775</v>
      </c>
      <c r="I26" s="405">
        <v>50.030916770936862</v>
      </c>
      <c r="J26" s="405">
        <v>50.130022661415332</v>
      </c>
      <c r="K26" s="405">
        <v>50.450818643271369</v>
      </c>
      <c r="L26" s="404">
        <v>50.044496575506841</v>
      </c>
    </row>
    <row r="27" spans="1:12" ht="14.5">
      <c r="A27" s="472"/>
      <c r="B27" s="559" t="s">
        <v>115</v>
      </c>
      <c r="C27" s="405">
        <v>50</v>
      </c>
      <c r="D27" s="405">
        <v>50.073139667821309</v>
      </c>
      <c r="E27" s="405">
        <v>50.634682195323983</v>
      </c>
      <c r="F27" s="405">
        <v>49.941374549883541</v>
      </c>
      <c r="G27" s="405">
        <v>50.023483786094509</v>
      </c>
      <c r="H27" s="405">
        <v>50.564166758385774</v>
      </c>
      <c r="I27" s="405">
        <v>50.023982738399958</v>
      </c>
      <c r="J27" s="405">
        <v>50.453522489601518</v>
      </c>
      <c r="K27" s="405">
        <v>50.263953002319447</v>
      </c>
      <c r="L27" s="404">
        <v>50.370366181820188</v>
      </c>
    </row>
    <row r="28" spans="1:12" ht="14.5">
      <c r="A28" s="473"/>
      <c r="B28" s="560" t="s">
        <v>116</v>
      </c>
      <c r="C28" s="407">
        <v>50</v>
      </c>
      <c r="D28" s="406">
        <v>50.28179873922614</v>
      </c>
      <c r="E28" s="407">
        <v>50.387020545012646</v>
      </c>
      <c r="F28" s="407">
        <v>49.980913152241754</v>
      </c>
      <c r="G28" s="407">
        <v>50.3382489282356</v>
      </c>
      <c r="H28" s="407">
        <v>50.586500008033312</v>
      </c>
      <c r="I28" s="407">
        <v>50.477047866881719</v>
      </c>
      <c r="J28" s="407">
        <v>50.053328559884875</v>
      </c>
      <c r="K28" s="407">
        <v>50.368251317646973</v>
      </c>
      <c r="L28" s="407">
        <v>50.185460309529198</v>
      </c>
    </row>
    <row r="29" spans="1:12" ht="14.5">
      <c r="A29" s="471">
        <v>2022</v>
      </c>
      <c r="B29" s="577" t="s">
        <v>105</v>
      </c>
      <c r="C29" s="403">
        <v>50</v>
      </c>
      <c r="D29" s="403">
        <v>50.356510302731664</v>
      </c>
      <c r="E29" s="403">
        <v>50.393482064948323</v>
      </c>
      <c r="F29" s="403">
        <v>49.923402471237786</v>
      </c>
      <c r="G29" s="403">
        <v>50.504517864932602</v>
      </c>
      <c r="H29" s="403">
        <v>50.349295201681379</v>
      </c>
      <c r="I29" s="403">
        <v>50.126838175816637</v>
      </c>
      <c r="J29" s="403">
        <v>50.146877047524235</v>
      </c>
      <c r="K29" s="403">
        <v>49.960334494646688</v>
      </c>
      <c r="L29" s="403">
        <v>50.231778392119665</v>
      </c>
    </row>
    <row r="30" spans="1:12" ht="14.5">
      <c r="A30" s="472"/>
      <c r="B30" s="578" t="s">
        <v>106</v>
      </c>
      <c r="C30" s="405">
        <v>50</v>
      </c>
      <c r="D30" s="405">
        <v>50.104434111519112</v>
      </c>
      <c r="E30" s="405">
        <v>50.275331209867154</v>
      </c>
      <c r="F30" s="405">
        <v>49.879443364095273</v>
      </c>
      <c r="G30" s="405">
        <v>50.459798285173719</v>
      </c>
      <c r="H30" s="405">
        <v>50.710138555015881</v>
      </c>
      <c r="I30" s="405">
        <v>50.113506176629556</v>
      </c>
      <c r="J30" s="405">
        <v>50.17999919788992</v>
      </c>
      <c r="K30" s="405">
        <v>50.333273745587427</v>
      </c>
      <c r="L30" s="405">
        <v>50.265009932719572</v>
      </c>
    </row>
    <row r="31" spans="1:12" ht="14.5">
      <c r="A31" s="472"/>
      <c r="B31" s="578" t="s">
        <v>107</v>
      </c>
      <c r="C31" s="405">
        <v>50</v>
      </c>
      <c r="D31" s="405">
        <v>50.272973531556843</v>
      </c>
      <c r="E31" s="405">
        <v>50.614390379365723</v>
      </c>
      <c r="F31" s="405">
        <v>50.132505280880928</v>
      </c>
      <c r="G31" s="405">
        <v>50.557444099964435</v>
      </c>
      <c r="H31" s="405">
        <v>50.094465974365256</v>
      </c>
      <c r="I31" s="405">
        <v>50.152049001214579</v>
      </c>
      <c r="J31" s="405">
        <v>50.17742329909872</v>
      </c>
      <c r="K31" s="405">
        <v>50.198723584206284</v>
      </c>
      <c r="L31" s="405">
        <v>50.187047782803788</v>
      </c>
    </row>
    <row r="32" spans="1:12" ht="14.5">
      <c r="A32" s="472"/>
      <c r="B32" s="578" t="s">
        <v>108</v>
      </c>
      <c r="C32" s="405">
        <v>50</v>
      </c>
      <c r="D32" s="405">
        <v>50.25380720336689</v>
      </c>
      <c r="E32" s="405">
        <v>50.394152966076852</v>
      </c>
      <c r="F32" s="405">
        <v>49.947381155722866</v>
      </c>
      <c r="G32" s="405">
        <v>50.362532553644272</v>
      </c>
      <c r="H32" s="405">
        <v>50.30264055211132</v>
      </c>
      <c r="I32" s="405">
        <v>50.142584528186518</v>
      </c>
      <c r="J32" s="405">
        <v>50.132479005432728</v>
      </c>
      <c r="K32" s="405">
        <v>50.291604478239066</v>
      </c>
      <c r="L32" s="405">
        <v>50.015870482317766</v>
      </c>
    </row>
    <row r="33" spans="1:12" ht="14.5">
      <c r="A33" s="472"/>
      <c r="B33" s="578" t="s">
        <v>109</v>
      </c>
      <c r="C33" s="405">
        <v>50</v>
      </c>
      <c r="D33" s="405">
        <v>50.025092720703668</v>
      </c>
      <c r="E33" s="405">
        <v>50.431810852182537</v>
      </c>
      <c r="F33" s="405">
        <v>50.550253846659402</v>
      </c>
      <c r="G33" s="405">
        <v>50.498267037102543</v>
      </c>
      <c r="H33" s="405">
        <v>50.403613857757136</v>
      </c>
      <c r="I33" s="405">
        <v>50.122412957183329</v>
      </c>
      <c r="J33" s="405">
        <v>50.179856464577313</v>
      </c>
      <c r="K33" s="405">
        <v>49.93925684805027</v>
      </c>
      <c r="L33" s="405">
        <v>50.219591444056121</v>
      </c>
    </row>
    <row r="34" spans="1:12" ht="14.5">
      <c r="A34" s="472"/>
      <c r="B34" s="578" t="s">
        <v>110</v>
      </c>
      <c r="C34" s="405">
        <v>50</v>
      </c>
      <c r="D34" s="405">
        <v>50.330096265748004</v>
      </c>
      <c r="E34" s="405">
        <v>50.090841741284251</v>
      </c>
      <c r="F34" s="405">
        <v>50.426218843780305</v>
      </c>
      <c r="G34" s="405">
        <v>49.994787963015497</v>
      </c>
      <c r="H34" s="405">
        <v>50.627752650885611</v>
      </c>
      <c r="I34" s="405">
        <v>50.157070051850376</v>
      </c>
      <c r="J34" s="405">
        <v>50.186652719496124</v>
      </c>
      <c r="K34" s="405">
        <v>50.380355022115261</v>
      </c>
      <c r="L34" s="405">
        <v>50.283146501686097</v>
      </c>
    </row>
    <row r="35" spans="1:12" ht="14.5">
      <c r="A35" s="472"/>
      <c r="B35" s="578" t="s">
        <v>117</v>
      </c>
      <c r="C35" s="405">
        <v>50</v>
      </c>
      <c r="D35" s="405">
        <v>50.446145200518018</v>
      </c>
      <c r="E35" s="404">
        <v>50.329477067156908</v>
      </c>
      <c r="F35" s="405">
        <v>50.488697425382128</v>
      </c>
      <c r="G35" s="405">
        <v>50.033425248181075</v>
      </c>
      <c r="H35" s="405">
        <v>50.265102481275299</v>
      </c>
      <c r="I35" s="405">
        <v>50.176134244748553</v>
      </c>
      <c r="J35" s="405">
        <v>50.185918026867135</v>
      </c>
      <c r="K35" s="405">
        <v>50.331793595904884</v>
      </c>
      <c r="L35" s="405">
        <v>50.07478501305409</v>
      </c>
    </row>
    <row r="36" spans="1:12" ht="14.5">
      <c r="A36" s="472"/>
      <c r="B36" s="578" t="s">
        <v>112</v>
      </c>
      <c r="C36" s="405">
        <v>50</v>
      </c>
      <c r="D36" s="405">
        <v>49.83823046584024</v>
      </c>
      <c r="E36" s="405">
        <v>50.401590930545055</v>
      </c>
      <c r="F36" s="405">
        <v>50.019540479494957</v>
      </c>
      <c r="G36" s="405">
        <v>50.114717255179741</v>
      </c>
      <c r="H36" s="405">
        <v>50.720557657015078</v>
      </c>
      <c r="I36" s="405">
        <v>50.14694455071043</v>
      </c>
      <c r="J36" s="405">
        <v>50.147980905963117</v>
      </c>
      <c r="K36" s="405">
        <v>49.954626580360944</v>
      </c>
      <c r="L36" s="405">
        <v>50.26851842217102</v>
      </c>
    </row>
    <row r="37" spans="1:12" ht="14.5">
      <c r="A37" s="472"/>
      <c r="B37" s="578" t="s">
        <v>113</v>
      </c>
      <c r="C37" s="405">
        <v>50</v>
      </c>
      <c r="D37" s="405">
        <v>50.077539988407139</v>
      </c>
      <c r="E37" s="405">
        <v>50.299211222115815</v>
      </c>
      <c r="F37" s="405">
        <v>50.090137189850516</v>
      </c>
      <c r="G37" s="405">
        <v>50.127766232329115</v>
      </c>
      <c r="H37" s="405">
        <v>50.239125178143595</v>
      </c>
      <c r="I37" s="405">
        <v>49.941491335340686</v>
      </c>
      <c r="J37" s="405">
        <v>49.941234442032318</v>
      </c>
      <c r="K37" s="405">
        <v>50.326339717773763</v>
      </c>
      <c r="L37" s="405">
        <v>50.595679479792707</v>
      </c>
    </row>
    <row r="38" spans="1:12" ht="14.5">
      <c r="A38" s="472"/>
      <c r="B38" s="578" t="s">
        <v>114</v>
      </c>
      <c r="C38" s="405">
        <v>50</v>
      </c>
      <c r="D38" s="405">
        <v>49.949508337220252</v>
      </c>
      <c r="E38" s="405">
        <v>50.449766345847479</v>
      </c>
      <c r="F38" s="405">
        <v>50.257545551645109</v>
      </c>
      <c r="G38" s="405">
        <v>49.98989647345892</v>
      </c>
      <c r="H38" s="405">
        <v>50.219492732052508</v>
      </c>
      <c r="I38" s="405">
        <v>50.286303042740791</v>
      </c>
      <c r="J38" s="405">
        <v>50.323453405820054</v>
      </c>
      <c r="K38" s="405">
        <v>50.268185276379455</v>
      </c>
      <c r="L38" s="405">
        <v>50.396547614290746</v>
      </c>
    </row>
    <row r="39" spans="1:12" ht="14.5">
      <c r="A39" s="472"/>
      <c r="B39" s="578" t="s">
        <v>115</v>
      </c>
      <c r="C39" s="405">
        <v>50</v>
      </c>
      <c r="D39" s="405">
        <v>50.300900182268919</v>
      </c>
      <c r="E39" s="405">
        <v>50.465917903472267</v>
      </c>
      <c r="F39" s="405">
        <v>50.075343753975375</v>
      </c>
      <c r="G39" s="405">
        <v>49.995482047203687</v>
      </c>
      <c r="H39" s="405">
        <v>50.07007862491691</v>
      </c>
      <c r="I39" s="405">
        <v>50.294559071293129</v>
      </c>
      <c r="J39" s="405">
        <v>49.989155285007165</v>
      </c>
      <c r="K39" s="405">
        <v>50.341660759785533</v>
      </c>
      <c r="L39" s="405">
        <v>50.099684637173119</v>
      </c>
    </row>
    <row r="40" spans="1:12" ht="14.5">
      <c r="A40" s="473"/>
      <c r="B40" s="576" t="s">
        <v>116</v>
      </c>
      <c r="C40" s="407">
        <v>50</v>
      </c>
      <c r="D40" s="407">
        <v>50.043123363441261</v>
      </c>
      <c r="E40" s="407">
        <v>50.128329959396076</v>
      </c>
      <c r="F40" s="407">
        <v>50.013067406335097</v>
      </c>
      <c r="G40" s="407">
        <v>50.007315438380211</v>
      </c>
      <c r="H40" s="407">
        <v>50.587483315026994</v>
      </c>
      <c r="I40" s="407">
        <v>49.975185907416808</v>
      </c>
      <c r="J40" s="407">
        <v>50.359456621065291</v>
      </c>
      <c r="K40" s="407">
        <v>50.328640442444637</v>
      </c>
      <c r="L40" s="407">
        <v>50.049981869152099</v>
      </c>
    </row>
    <row r="41" spans="1:12" ht="14.5">
      <c r="A41" s="472">
        <v>2023</v>
      </c>
      <c r="B41" s="578" t="s">
        <v>105</v>
      </c>
      <c r="C41" s="405">
        <v>50</v>
      </c>
      <c r="D41" s="405">
        <v>49.972845485770627</v>
      </c>
      <c r="E41" s="405">
        <v>50.534142883072072</v>
      </c>
      <c r="F41" s="405">
        <v>49.969413119244464</v>
      </c>
      <c r="G41" s="405">
        <v>50.029982881369783</v>
      </c>
      <c r="H41" s="405">
        <v>50.694908243470636</v>
      </c>
      <c r="I41" s="405">
        <v>50.240420614031969</v>
      </c>
      <c r="J41" s="405">
        <v>50.341303844900466</v>
      </c>
      <c r="K41" s="405">
        <v>49.870575781618314</v>
      </c>
      <c r="L41" s="405">
        <v>50.019312520489351</v>
      </c>
    </row>
    <row r="42" spans="1:12" ht="14.5">
      <c r="A42" s="472"/>
      <c r="B42" s="578" t="s">
        <v>106</v>
      </c>
      <c r="C42" s="405">
        <v>50</v>
      </c>
      <c r="D42" s="405">
        <v>50.156115820696556</v>
      </c>
      <c r="E42" s="405">
        <v>50.168062114119451</v>
      </c>
      <c r="F42" s="405">
        <v>50.117827627599915</v>
      </c>
      <c r="G42" s="405">
        <v>50.318140590571744</v>
      </c>
      <c r="H42" s="405">
        <v>50.535014113716258</v>
      </c>
      <c r="I42" s="405">
        <v>50.313398025228665</v>
      </c>
      <c r="J42" s="405">
        <v>50.363364124135146</v>
      </c>
      <c r="K42" s="405">
        <v>49.980814332498198</v>
      </c>
      <c r="L42" s="405">
        <v>50.054778910845499</v>
      </c>
    </row>
    <row r="43" spans="1:12" ht="14.5">
      <c r="A43" s="472"/>
      <c r="B43" s="578" t="s">
        <v>107</v>
      </c>
      <c r="C43" s="405">
        <v>50</v>
      </c>
      <c r="D43" s="405">
        <v>49.814915705435787</v>
      </c>
      <c r="E43" s="405">
        <v>49.819946281074905</v>
      </c>
      <c r="F43" s="405">
        <v>50.292622097156219</v>
      </c>
      <c r="G43" s="405">
        <v>50.094115927964673</v>
      </c>
      <c r="H43" s="405">
        <v>50.331418521566484</v>
      </c>
      <c r="I43" s="405">
        <v>50.254218228437225</v>
      </c>
      <c r="J43" s="405">
        <v>50.354489906687675</v>
      </c>
      <c r="K43" s="405">
        <v>49.885729940920854</v>
      </c>
      <c r="L43" s="405">
        <v>50.096627402224009</v>
      </c>
    </row>
    <row r="44" spans="1:12" ht="14.5">
      <c r="A44" s="472"/>
      <c r="B44" s="559" t="s">
        <v>108</v>
      </c>
      <c r="C44" s="404">
        <v>50</v>
      </c>
      <c r="D44" s="405">
        <v>49.794871452893496</v>
      </c>
      <c r="E44" s="405">
        <v>50.233814752267151</v>
      </c>
      <c r="F44" s="405">
        <v>50.099276159901805</v>
      </c>
      <c r="G44" s="405">
        <v>49.924403605676446</v>
      </c>
      <c r="H44" s="405">
        <v>49.897152076859875</v>
      </c>
      <c r="I44" s="405">
        <v>50.292723565452533</v>
      </c>
      <c r="J44" s="405">
        <v>50.31558764862713</v>
      </c>
      <c r="K44" s="405">
        <v>49.879928771839815</v>
      </c>
      <c r="L44" s="404">
        <v>50.37363025133331</v>
      </c>
    </row>
    <row r="45" spans="1:12" ht="14.5">
      <c r="A45" s="472"/>
      <c r="B45" s="578" t="s">
        <v>109</v>
      </c>
      <c r="C45" s="405">
        <v>50</v>
      </c>
      <c r="D45" s="405">
        <v>49.982637897795726</v>
      </c>
      <c r="E45" s="405">
        <v>49.795180855858497</v>
      </c>
      <c r="F45" s="405">
        <v>50.07339465959371</v>
      </c>
      <c r="G45" s="405">
        <v>49.878029336834338</v>
      </c>
      <c r="H45" s="405">
        <v>49.951555175597086</v>
      </c>
      <c r="I45" s="405">
        <v>50.246741559048573</v>
      </c>
      <c r="J45" s="405">
        <v>50.325369358069771</v>
      </c>
      <c r="K45" s="405">
        <v>50.246516433842196</v>
      </c>
      <c r="L45" s="405">
        <v>50.395321966546696</v>
      </c>
    </row>
    <row r="46" spans="1:12" ht="14.5">
      <c r="A46" s="472"/>
      <c r="B46" s="578" t="s">
        <v>110</v>
      </c>
      <c r="C46" s="405">
        <v>50</v>
      </c>
      <c r="D46" s="405">
        <v>49.963755698584229</v>
      </c>
      <c r="E46" s="405">
        <v>50.60217576248376</v>
      </c>
      <c r="F46" s="405">
        <v>50.133148550151375</v>
      </c>
      <c r="G46" s="405">
        <v>50.081374848903373</v>
      </c>
      <c r="H46" s="405">
        <v>50.156343268806339</v>
      </c>
      <c r="I46" s="405">
        <v>50.337834680312149</v>
      </c>
      <c r="J46" s="405">
        <v>50.315744465862963</v>
      </c>
      <c r="K46" s="405">
        <v>50.267808578297249</v>
      </c>
      <c r="L46" s="405">
        <v>49.621643979085775</v>
      </c>
    </row>
    <row r="47" spans="1:12" ht="14.5">
      <c r="A47" s="472"/>
      <c r="B47" s="578" t="s">
        <v>117</v>
      </c>
      <c r="C47" s="405">
        <v>50</v>
      </c>
      <c r="D47" s="405">
        <v>50.560029759599495</v>
      </c>
      <c r="E47" s="405">
        <v>50.353899760858774</v>
      </c>
      <c r="F47" s="405">
        <v>49.928027763273263</v>
      </c>
      <c r="G47" s="405">
        <v>50.090554419959233</v>
      </c>
      <c r="H47" s="405">
        <v>50.108957345575071</v>
      </c>
      <c r="I47" s="405">
        <v>50.275852302912121</v>
      </c>
      <c r="J47" s="405">
        <v>50.33427855113613</v>
      </c>
      <c r="K47" s="405">
        <v>50.37088609622014</v>
      </c>
      <c r="L47" s="405">
        <v>50.616039368127275</v>
      </c>
    </row>
    <row r="48" spans="1:12" ht="14.5">
      <c r="A48" s="472"/>
      <c r="B48" s="578" t="s">
        <v>112</v>
      </c>
      <c r="C48" s="405">
        <v>50</v>
      </c>
      <c r="D48" s="405">
        <v>50.564127835462315</v>
      </c>
      <c r="E48" s="405">
        <v>50.105681620410955</v>
      </c>
      <c r="F48" s="405">
        <v>50.057149711002381</v>
      </c>
      <c r="G48" s="405">
        <v>50.064933319517181</v>
      </c>
      <c r="H48" s="405">
        <v>50.455796374664054</v>
      </c>
      <c r="I48" s="405">
        <v>50.226048291198637</v>
      </c>
      <c r="J48" s="405">
        <v>50.252202873877842</v>
      </c>
      <c r="K48" s="405">
        <v>50.643063600836435</v>
      </c>
      <c r="L48" s="405">
        <v>50.265436311894135</v>
      </c>
    </row>
    <row r="49" spans="1:12" ht="14.5">
      <c r="A49" s="472"/>
      <c r="B49" s="578" t="s">
        <v>113</v>
      </c>
      <c r="C49" s="405">
        <v>50</v>
      </c>
      <c r="D49" s="405">
        <v>50.078750557376772</v>
      </c>
      <c r="E49" s="405">
        <v>50.44762605281683</v>
      </c>
      <c r="F49" s="405">
        <v>50.113601332761682</v>
      </c>
      <c r="G49" s="405">
        <v>50.114720723622256</v>
      </c>
      <c r="H49" s="405">
        <v>50.16938335744031</v>
      </c>
      <c r="I49" s="405">
        <v>50.272680867831703</v>
      </c>
      <c r="J49" s="405">
        <v>50.220092852394217</v>
      </c>
      <c r="K49" s="405">
        <v>50.267741926472191</v>
      </c>
      <c r="L49" s="405">
        <v>50.223411340177215</v>
      </c>
    </row>
    <row r="50" spans="1:12" ht="14.5">
      <c r="A50" s="472"/>
      <c r="B50" s="578" t="s">
        <v>114</v>
      </c>
      <c r="C50" s="405">
        <v>50</v>
      </c>
      <c r="D50" s="405">
        <v>49.662223306452688</v>
      </c>
      <c r="E50" s="405">
        <v>50.049320930571923</v>
      </c>
      <c r="F50" s="405">
        <v>50.083102443526144</v>
      </c>
      <c r="G50" s="405">
        <v>50.213220317629407</v>
      </c>
      <c r="H50" s="405">
        <v>50.117474269974679</v>
      </c>
      <c r="I50" s="405">
        <v>50.046832614932434</v>
      </c>
      <c r="J50" s="405">
        <v>50.03604904769778</v>
      </c>
      <c r="K50" s="405">
        <v>50.641689106339548</v>
      </c>
      <c r="L50" s="405">
        <v>50.551558676870243</v>
      </c>
    </row>
    <row r="51" spans="1:12" ht="14.5">
      <c r="A51" s="472"/>
      <c r="B51" s="578" t="s">
        <v>115</v>
      </c>
      <c r="C51" s="405">
        <v>50</v>
      </c>
      <c r="D51" s="405">
        <v>50.102437288649178</v>
      </c>
      <c r="E51" s="405">
        <v>50.040182998274396</v>
      </c>
      <c r="F51" s="405">
        <v>50.119046831900036</v>
      </c>
      <c r="G51" s="405">
        <v>50.137014774551808</v>
      </c>
      <c r="H51" s="405">
        <v>50.173426751541186</v>
      </c>
      <c r="I51" s="405">
        <v>50.487973002944202</v>
      </c>
      <c r="J51" s="405">
        <v>50.533324099132592</v>
      </c>
      <c r="K51" s="405">
        <v>50.444102633396852</v>
      </c>
      <c r="L51" s="405">
        <v>49.690158349672473</v>
      </c>
    </row>
    <row r="52" spans="1:12" ht="14.5">
      <c r="A52" s="473"/>
      <c r="B52" s="576" t="s">
        <v>116</v>
      </c>
      <c r="C52" s="407">
        <v>50</v>
      </c>
      <c r="D52" s="407">
        <v>49.992694696757297</v>
      </c>
      <c r="E52" s="407">
        <v>50.522800335820513</v>
      </c>
      <c r="F52" s="407">
        <v>50.056373146422494</v>
      </c>
      <c r="G52" s="407">
        <v>49.990957980316232</v>
      </c>
      <c r="H52" s="407">
        <v>50.113778974641761</v>
      </c>
      <c r="I52" s="407">
        <v>50.435685141467516</v>
      </c>
      <c r="J52" s="407">
        <v>50.591846493690809</v>
      </c>
      <c r="K52" s="407">
        <v>49.688376325930385</v>
      </c>
      <c r="L52" s="407">
        <v>50.145232234900334</v>
      </c>
    </row>
    <row r="53" spans="1:12" ht="14.5">
      <c r="A53" s="471">
        <v>2024</v>
      </c>
      <c r="B53" s="577" t="s">
        <v>105</v>
      </c>
      <c r="C53" s="403">
        <v>50</v>
      </c>
      <c r="D53" s="403">
        <v>50.167524747863766</v>
      </c>
      <c r="E53" s="403">
        <v>50.008417728594686</v>
      </c>
      <c r="F53" s="403">
        <v>50.017888344809478</v>
      </c>
      <c r="G53" s="403">
        <v>50.052702997688044</v>
      </c>
      <c r="H53" s="403">
        <v>50.155998699073358</v>
      </c>
      <c r="I53" s="403">
        <v>50.272029516757478</v>
      </c>
      <c r="J53" s="403">
        <v>50.237267122169492</v>
      </c>
      <c r="K53" s="403">
        <v>50.189904318070781</v>
      </c>
      <c r="L53" s="403">
        <v>50.558878127301824</v>
      </c>
    </row>
    <row r="54" spans="1:12" ht="14.5">
      <c r="A54" s="472"/>
      <c r="B54" s="578" t="s">
        <v>106</v>
      </c>
      <c r="C54" s="405">
        <v>50</v>
      </c>
      <c r="D54" s="405">
        <v>50.139441339533654</v>
      </c>
      <c r="E54" s="405">
        <v>50.178598815433638</v>
      </c>
      <c r="F54" s="405">
        <v>50.050350585457373</v>
      </c>
      <c r="G54" s="405">
        <v>50.221254335769906</v>
      </c>
      <c r="H54" s="405">
        <v>50.261098675594653</v>
      </c>
      <c r="I54" s="405">
        <v>50.224133667478846</v>
      </c>
      <c r="J54" s="405">
        <v>50.269526238035652</v>
      </c>
      <c r="K54" s="405">
        <v>49.74036614113718</v>
      </c>
      <c r="L54" s="405">
        <v>50.521319406389786</v>
      </c>
    </row>
    <row r="55" spans="1:12" ht="14.5">
      <c r="A55" s="472"/>
      <c r="B55" s="578" t="s">
        <v>107</v>
      </c>
      <c r="C55" s="405">
        <v>50</v>
      </c>
      <c r="D55" s="405">
        <v>50.019697656621055</v>
      </c>
      <c r="E55" s="405">
        <v>50.158149138492</v>
      </c>
      <c r="F55" s="405">
        <v>50.043416702661943</v>
      </c>
      <c r="G55" s="405">
        <v>50.256495271624935</v>
      </c>
      <c r="H55" s="405">
        <v>50.263382291031526</v>
      </c>
      <c r="I55" s="405">
        <v>50.269528828645349</v>
      </c>
      <c r="J55" s="405">
        <v>50.261201204236748</v>
      </c>
      <c r="K55" s="405">
        <v>50.245869550884045</v>
      </c>
      <c r="L55" s="405">
        <v>50.22277101497518</v>
      </c>
    </row>
    <row r="56" spans="1:12" ht="14.5">
      <c r="A56" s="472"/>
      <c r="B56" s="578" t="s">
        <v>108</v>
      </c>
      <c r="C56" s="405">
        <v>50</v>
      </c>
      <c r="D56" s="405">
        <v>49.86105055555695</v>
      </c>
      <c r="E56" s="405">
        <v>50.175229271459926</v>
      </c>
      <c r="F56" s="405">
        <v>50.092626405952835</v>
      </c>
      <c r="G56" s="405">
        <v>50.247005608064988</v>
      </c>
      <c r="H56" s="405">
        <v>50.266674565447232</v>
      </c>
      <c r="I56" s="405">
        <v>50.139597937508213</v>
      </c>
      <c r="J56" s="405">
        <v>50.226019480291342</v>
      </c>
      <c r="K56" s="405">
        <v>50.276550803028371</v>
      </c>
      <c r="L56" s="405">
        <v>50.192993846985985</v>
      </c>
    </row>
    <row r="57" spans="1:12" ht="14.5">
      <c r="A57" s="472"/>
      <c r="B57" s="578" t="s">
        <v>109</v>
      </c>
      <c r="C57" s="405">
        <v>50</v>
      </c>
      <c r="D57" s="405">
        <v>49.863536198898963</v>
      </c>
      <c r="E57" s="405">
        <v>50.160788703049896</v>
      </c>
      <c r="F57" s="405">
        <v>50.072758249899778</v>
      </c>
      <c r="G57" s="405">
        <v>50.209160339708177</v>
      </c>
      <c r="H57" s="405">
        <v>50.110941557254066</v>
      </c>
      <c r="I57" s="405">
        <v>50.189511430284398</v>
      </c>
      <c r="J57" s="405">
        <v>50.18852701210475</v>
      </c>
      <c r="K57" s="405">
        <v>50.221583793705776</v>
      </c>
      <c r="L57" s="405">
        <v>49.884833627201125</v>
      </c>
    </row>
    <row r="58" spans="1:12" ht="14.5">
      <c r="A58" s="472"/>
      <c r="B58" s="578" t="s">
        <v>110</v>
      </c>
      <c r="C58" s="405">
        <v>50</v>
      </c>
      <c r="D58" s="405">
        <v>49.956975804588957</v>
      </c>
      <c r="E58" s="405">
        <v>49.978304443082386</v>
      </c>
      <c r="F58" s="405">
        <v>50.047572451917389</v>
      </c>
      <c r="G58" s="405">
        <v>50.060023849027885</v>
      </c>
      <c r="H58" s="405">
        <v>50.299543832570677</v>
      </c>
      <c r="I58" s="405">
        <v>50.197716882723832</v>
      </c>
      <c r="J58" s="405">
        <v>50.197136845711185</v>
      </c>
      <c r="K58" s="405">
        <v>49.61364750364168</v>
      </c>
      <c r="L58" s="405">
        <v>49.898344406394344</v>
      </c>
    </row>
    <row r="59" spans="1:12" ht="14.5">
      <c r="A59" s="472"/>
      <c r="B59" s="578" t="s">
        <v>117</v>
      </c>
      <c r="C59" s="405">
        <v>50</v>
      </c>
      <c r="D59" s="405">
        <v>50.001031081477834</v>
      </c>
      <c r="E59" s="405">
        <v>50.312488930000001</v>
      </c>
      <c r="F59" s="405">
        <v>50.016171718549003</v>
      </c>
      <c r="G59" s="405">
        <v>50.190562763659983</v>
      </c>
      <c r="H59" s="405">
        <v>50.121911230711042</v>
      </c>
      <c r="I59" s="405">
        <v>50.248499331697118</v>
      </c>
      <c r="J59" s="405">
        <v>50.250468499155645</v>
      </c>
      <c r="K59" s="405">
        <v>49.978617059330283</v>
      </c>
      <c r="L59" s="405">
        <v>50.646707130000003</v>
      </c>
    </row>
    <row r="60" spans="1:12" ht="14.5">
      <c r="A60" s="472"/>
      <c r="B60" s="578" t="s">
        <v>112</v>
      </c>
      <c r="C60" s="405">
        <v>50</v>
      </c>
      <c r="D60" s="405">
        <v>50.21588030844773</v>
      </c>
      <c r="E60" s="405">
        <v>50.263790404723217</v>
      </c>
      <c r="F60" s="405">
        <v>50.05313716062809</v>
      </c>
      <c r="G60" s="405">
        <v>50.083483546947768</v>
      </c>
      <c r="H60" s="405">
        <v>50.292414083455846</v>
      </c>
      <c r="I60" s="405">
        <v>50.289334314812209</v>
      </c>
      <c r="J60" s="405">
        <v>50.243613475718526</v>
      </c>
      <c r="K60" s="405">
        <v>50.272932740460909</v>
      </c>
      <c r="L60" s="405">
        <v>50.272767706377891</v>
      </c>
    </row>
    <row r="61" spans="1:12" ht="14.5">
      <c r="A61" s="472"/>
      <c r="B61" s="578" t="s">
        <v>113</v>
      </c>
      <c r="C61" s="405">
        <v>50</v>
      </c>
      <c r="D61" s="405">
        <v>50.193663823149144</v>
      </c>
      <c r="E61" s="405">
        <v>50.155122275701821</v>
      </c>
      <c r="F61" s="405">
        <v>50.173708836747899</v>
      </c>
      <c r="G61" s="405">
        <v>50.03522919263154</v>
      </c>
      <c r="H61" s="405">
        <v>50.118969207526305</v>
      </c>
      <c r="I61" s="405">
        <v>50.181227737335227</v>
      </c>
      <c r="J61" s="405">
        <v>50.183400411636079</v>
      </c>
      <c r="K61" s="405">
        <v>50.131996707226769</v>
      </c>
      <c r="L61" s="405">
        <v>49.603365448241661</v>
      </c>
    </row>
    <row r="62" spans="1:12" ht="14.5">
      <c r="A62" s="472"/>
      <c r="B62" s="578" t="s">
        <v>114</v>
      </c>
      <c r="C62" s="405">
        <v>50</v>
      </c>
      <c r="D62" s="405">
        <v>50.285090264765756</v>
      </c>
      <c r="E62" s="405">
        <v>50.066081143521416</v>
      </c>
      <c r="F62" s="405">
        <v>50.019185178451558</v>
      </c>
      <c r="G62" s="405">
        <v>50.017765122420712</v>
      </c>
      <c r="H62" s="405">
        <v>50.080088724076674</v>
      </c>
      <c r="I62" s="405">
        <v>50.205501459527518</v>
      </c>
      <c r="J62" s="405">
        <v>50.207870048446317</v>
      </c>
      <c r="K62" s="405">
        <v>49.87854647430558</v>
      </c>
      <c r="L62" s="405">
        <v>49.905564530876553</v>
      </c>
    </row>
    <row r="63" spans="1:12" ht="14.5">
      <c r="A63" s="472"/>
      <c r="B63" s="578" t="s">
        <v>115</v>
      </c>
      <c r="C63" s="405">
        <v>50</v>
      </c>
      <c r="D63" s="405">
        <v>49.967062082968951</v>
      </c>
      <c r="E63" s="405">
        <v>50.024920965028599</v>
      </c>
      <c r="F63" s="405">
        <v>50.025932697020217</v>
      </c>
      <c r="G63" s="405">
        <v>50.039814891739169</v>
      </c>
      <c r="H63" s="405">
        <v>50.52161671382585</v>
      </c>
      <c r="I63" s="405">
        <v>50.200938600641265</v>
      </c>
      <c r="J63" s="405">
        <v>50.156802387276883</v>
      </c>
      <c r="K63" s="405">
        <v>50.164192459259695</v>
      </c>
      <c r="L63" s="405">
        <v>49.915692302869459</v>
      </c>
    </row>
    <row r="64" spans="1:12" ht="14.5">
      <c r="A64" s="473"/>
      <c r="B64" s="576" t="s">
        <v>116</v>
      </c>
      <c r="C64" s="407">
        <v>50</v>
      </c>
      <c r="D64" s="407">
        <v>49.990210347410084</v>
      </c>
      <c r="E64" s="407">
        <v>50.396542649247209</v>
      </c>
      <c r="F64" s="407">
        <v>50.057288526121276</v>
      </c>
      <c r="G64" s="407">
        <v>50.045365528535172</v>
      </c>
      <c r="H64" s="407">
        <v>50.148558953018956</v>
      </c>
      <c r="I64" s="407">
        <v>50.242519062986929</v>
      </c>
      <c r="J64" s="407">
        <v>50.254582142427921</v>
      </c>
      <c r="K64" s="407">
        <v>50.161791011839796</v>
      </c>
      <c r="L64" s="407">
        <v>49.854453769729695</v>
      </c>
    </row>
    <row r="65" spans="1:12" ht="14.5">
      <c r="A65" s="471">
        <v>2025</v>
      </c>
      <c r="B65" s="577" t="s">
        <v>105</v>
      </c>
      <c r="C65" s="403">
        <v>50</v>
      </c>
      <c r="D65" s="403">
        <v>50.337506151330587</v>
      </c>
      <c r="E65" s="403">
        <v>50.33455787638465</v>
      </c>
      <c r="F65" s="403">
        <v>50.055235199158211</v>
      </c>
      <c r="G65" s="403">
        <v>50.118443797758871</v>
      </c>
      <c r="H65" s="403">
        <v>50.138870840849037</v>
      </c>
      <c r="I65" s="403">
        <v>50.202979371524819</v>
      </c>
      <c r="J65" s="403">
        <v>50.273560439202321</v>
      </c>
      <c r="K65" s="403">
        <v>49.954879890690584</v>
      </c>
      <c r="L65" s="403">
        <v>49.922551165002929</v>
      </c>
    </row>
    <row r="66" spans="1:12" ht="14.5">
      <c r="A66" s="472"/>
      <c r="B66" s="578" t="s">
        <v>106</v>
      </c>
      <c r="C66" s="405">
        <v>50</v>
      </c>
      <c r="D66" s="405">
        <v>49.961939581900161</v>
      </c>
      <c r="E66" s="405">
        <v>50.285077881177941</v>
      </c>
      <c r="F66" s="405">
        <v>50.03866543088234</v>
      </c>
      <c r="G66" s="405">
        <v>50.113925932362307</v>
      </c>
      <c r="H66" s="405">
        <v>50.128973596084229</v>
      </c>
      <c r="I66" s="405">
        <v>50.584555912068247</v>
      </c>
      <c r="J66" s="405">
        <v>50.25078902701874</v>
      </c>
      <c r="K66" s="405">
        <v>49.770171126627993</v>
      </c>
      <c r="L66" s="405">
        <v>49.841802149405893</v>
      </c>
    </row>
    <row r="67" spans="1:12" ht="14.5">
      <c r="A67" s="472"/>
      <c r="B67" s="578" t="s">
        <v>107</v>
      </c>
      <c r="C67" s="405">
        <v>50</v>
      </c>
      <c r="D67" s="405">
        <v>49.888539814545119</v>
      </c>
      <c r="E67" s="405">
        <v>50.305477299544215</v>
      </c>
      <c r="F67" s="405">
        <v>50.074195610071669</v>
      </c>
      <c r="G67" s="405">
        <v>50.128404356731139</v>
      </c>
      <c r="H67" s="405">
        <v>50.074398005660115</v>
      </c>
      <c r="I67" s="405">
        <v>50.227506576450871</v>
      </c>
      <c r="J67" s="405">
        <v>50.288118512729149</v>
      </c>
      <c r="K67" s="405">
        <v>49.853121346191415</v>
      </c>
      <c r="L67" s="405">
        <v>50.18817119638927</v>
      </c>
    </row>
    <row r="68" spans="1:12" ht="14.5">
      <c r="A68" s="472"/>
      <c r="B68" s="578" t="s">
        <v>108</v>
      </c>
      <c r="C68" s="405">
        <v>50</v>
      </c>
      <c r="D68" s="405">
        <v>49.885862927545432</v>
      </c>
      <c r="E68" s="405">
        <v>50.095853277374516</v>
      </c>
      <c r="F68" s="405">
        <v>50.338503806330742</v>
      </c>
      <c r="G68" s="405">
        <v>50.141702814830857</v>
      </c>
      <c r="H68" s="405">
        <v>50.065588798713897</v>
      </c>
      <c r="I68" s="405">
        <v>50.195459369445693</v>
      </c>
      <c r="J68" s="405">
        <v>49.922362266364054</v>
      </c>
      <c r="K68" s="405">
        <v>49.933888291906264</v>
      </c>
      <c r="L68" s="405">
        <v>50.099244012719254</v>
      </c>
    </row>
    <row r="69" spans="1:12" ht="14.5">
      <c r="A69" s="472"/>
      <c r="B69" s="578" t="s">
        <v>109</v>
      </c>
      <c r="C69" s="405">
        <v>50</v>
      </c>
      <c r="D69" s="405">
        <v>49.734358900456527</v>
      </c>
      <c r="E69" s="405">
        <v>50.338515567213619</v>
      </c>
      <c r="F69" s="405">
        <v>50.136079034788743</v>
      </c>
      <c r="G69" s="405">
        <v>50.052990391057676</v>
      </c>
      <c r="H69" s="405">
        <v>50.383180057824383</v>
      </c>
      <c r="I69" s="405">
        <v>49.727294336155211</v>
      </c>
      <c r="J69" s="405">
        <v>50.243047626048138</v>
      </c>
      <c r="K69" s="405">
        <v>50.13519483507784</v>
      </c>
      <c r="L69" s="405">
        <v>49.743300550965238</v>
      </c>
    </row>
    <row r="70" spans="1:12" ht="14.5">
      <c r="A70" s="472"/>
      <c r="B70" s="578" t="s">
        <v>110</v>
      </c>
      <c r="C70" s="702">
        <v>50</v>
      </c>
      <c r="D70" s="703">
        <v>50</v>
      </c>
      <c r="E70" s="704">
        <v>50.4</v>
      </c>
      <c r="F70" s="704">
        <v>50.4</v>
      </c>
      <c r="G70" s="704">
        <v>50.4</v>
      </c>
      <c r="H70" s="704">
        <v>50.1</v>
      </c>
      <c r="I70" s="704">
        <v>50.2</v>
      </c>
      <c r="J70" s="704">
        <v>50.2</v>
      </c>
      <c r="K70" s="704">
        <v>49.9</v>
      </c>
      <c r="L70" s="704">
        <v>50.3</v>
      </c>
    </row>
    <row r="71" spans="1:12" ht="14.5">
      <c r="A71" s="472"/>
      <c r="B71" s="578" t="s">
        <v>117</v>
      </c>
      <c r="C71" s="702">
        <v>50</v>
      </c>
      <c r="D71" s="703">
        <v>50.3041909957632</v>
      </c>
      <c r="E71" s="703">
        <v>50.073379667155599</v>
      </c>
      <c r="F71" s="703">
        <v>50.452371801772202</v>
      </c>
      <c r="G71" s="703">
        <v>50.422108606969097</v>
      </c>
      <c r="H71" s="703">
        <v>50.411322385377503</v>
      </c>
      <c r="I71" s="703">
        <v>49.903648541215297</v>
      </c>
      <c r="J71" s="703">
        <v>50.248202614984898</v>
      </c>
      <c r="K71" s="703">
        <v>49.461834293044703</v>
      </c>
      <c r="L71" s="703">
        <v>50.269304149174303</v>
      </c>
    </row>
    <row r="72" spans="1:12" ht="14.5">
      <c r="A72" s="473"/>
      <c r="B72" s="576" t="s">
        <v>112</v>
      </c>
      <c r="C72" s="696">
        <v>50</v>
      </c>
      <c r="D72" s="705">
        <v>50.018210817277797</v>
      </c>
      <c r="E72" s="705">
        <v>49.959816412642098</v>
      </c>
      <c r="F72" s="705">
        <v>50.441800924662701</v>
      </c>
      <c r="G72" s="705">
        <v>50.429175088847003</v>
      </c>
      <c r="H72" s="705">
        <v>50.454756596241502</v>
      </c>
      <c r="I72" s="705">
        <v>49.883360050091198</v>
      </c>
      <c r="J72" s="705">
        <v>49.894854526831701</v>
      </c>
      <c r="K72" s="705">
        <v>50.348782340852999</v>
      </c>
      <c r="L72" s="705">
        <v>49.631944038040601</v>
      </c>
    </row>
    <row r="73" spans="1:12" ht="14.5">
      <c r="A73" s="639"/>
      <c r="B73" s="640"/>
      <c r="C73" s="408"/>
      <c r="D73" s="408"/>
      <c r="E73" s="408"/>
      <c r="F73" s="408"/>
      <c r="G73" s="408"/>
      <c r="H73" s="408"/>
      <c r="I73" s="408"/>
      <c r="J73" s="408"/>
      <c r="K73" s="408"/>
      <c r="L73" s="408"/>
    </row>
    <row r="74" spans="1:12" ht="22.5" customHeight="1">
      <c r="A74" s="868" t="s">
        <v>323</v>
      </c>
      <c r="B74" s="868"/>
      <c r="C74" s="868"/>
      <c r="D74" s="868"/>
      <c r="E74" s="868"/>
      <c r="F74" s="868"/>
      <c r="G74" s="868"/>
      <c r="H74" s="868"/>
      <c r="I74" s="868"/>
      <c r="J74" s="868"/>
      <c r="K74" s="868"/>
      <c r="L74" s="868"/>
    </row>
    <row r="75" spans="1:12">
      <c r="A75" s="108"/>
      <c r="B75" s="108"/>
      <c r="C75" s="108"/>
      <c r="D75" s="408"/>
      <c r="E75" s="408"/>
      <c r="F75" s="408"/>
      <c r="G75" s="408"/>
      <c r="H75" s="408"/>
      <c r="I75" s="408"/>
      <c r="J75" s="408"/>
      <c r="K75" s="408"/>
      <c r="L75" s="408"/>
    </row>
    <row r="76" spans="1:12" ht="14.5" customHeight="1">
      <c r="A76" s="856" t="s">
        <v>118</v>
      </c>
      <c r="B76" s="856"/>
      <c r="C76" s="856"/>
      <c r="D76" s="856"/>
      <c r="E76" s="856"/>
    </row>
    <row r="77" spans="1:12">
      <c r="A77" s="555"/>
      <c r="B77" s="555"/>
      <c r="C77" s="555"/>
      <c r="D77" s="555"/>
      <c r="E77" s="555"/>
      <c r="F77" s="555"/>
      <c r="G77" s="555"/>
      <c r="H77" s="555"/>
      <c r="I77" s="555"/>
      <c r="J77" s="555"/>
      <c r="K77" s="555"/>
      <c r="L77" s="555"/>
    </row>
    <row r="78" spans="1:12">
      <c r="D78" s="611"/>
      <c r="E78" s="611"/>
      <c r="F78" s="611"/>
      <c r="G78" s="611"/>
      <c r="H78" s="611"/>
      <c r="I78" s="611"/>
      <c r="J78" s="611"/>
      <c r="K78" s="611"/>
      <c r="L78" s="611"/>
    </row>
    <row r="79" spans="1:12">
      <c r="D79" s="611"/>
      <c r="E79" s="611"/>
      <c r="F79" s="611"/>
      <c r="G79" s="611"/>
      <c r="H79" s="611"/>
      <c r="I79" s="611"/>
      <c r="J79" s="611"/>
      <c r="K79" s="611"/>
      <c r="L79" s="611"/>
    </row>
    <row r="80" spans="1:12">
      <c r="D80" s="611"/>
      <c r="E80" s="611"/>
      <c r="F80" s="611"/>
      <c r="G80" s="611"/>
      <c r="H80" s="611"/>
      <c r="I80" s="611"/>
      <c r="J80" s="611"/>
      <c r="K80" s="611"/>
      <c r="L80" s="611"/>
    </row>
    <row r="81" spans="3:12">
      <c r="D81" s="611"/>
      <c r="E81" s="611"/>
      <c r="F81" s="611"/>
      <c r="G81" s="611"/>
      <c r="H81" s="611"/>
      <c r="I81" s="611"/>
      <c r="J81" s="611"/>
      <c r="K81" s="611"/>
      <c r="L81" s="611"/>
    </row>
    <row r="82" spans="3:12">
      <c r="D82" s="611"/>
      <c r="E82" s="611"/>
      <c r="F82" s="611"/>
      <c r="G82" s="611"/>
      <c r="H82" s="611"/>
      <c r="I82" s="611"/>
      <c r="J82" s="611"/>
      <c r="K82" s="611"/>
      <c r="L82" s="611"/>
    </row>
    <row r="83" spans="3:12">
      <c r="D83" s="611"/>
      <c r="E83" s="611"/>
      <c r="F83" s="611"/>
      <c r="G83" s="611"/>
      <c r="H83" s="611"/>
      <c r="I83" s="611"/>
      <c r="J83" s="611"/>
      <c r="K83" s="611"/>
      <c r="L83" s="611"/>
    </row>
    <row r="84" spans="3:12">
      <c r="D84" s="611"/>
      <c r="E84" s="611"/>
      <c r="F84" s="611"/>
      <c r="G84" s="611"/>
      <c r="H84" s="611"/>
      <c r="I84" s="611"/>
      <c r="J84" s="611"/>
      <c r="K84" s="611"/>
      <c r="L84" s="611"/>
    </row>
    <row r="85" spans="3:12">
      <c r="D85" s="611"/>
      <c r="E85" s="611"/>
      <c r="F85" s="611"/>
      <c r="G85" s="611"/>
      <c r="H85" s="611"/>
      <c r="I85" s="611"/>
      <c r="J85" s="611"/>
      <c r="K85" s="611"/>
      <c r="L85" s="611"/>
    </row>
    <row r="86" spans="3:12">
      <c r="D86" s="611"/>
      <c r="E86" s="611"/>
      <c r="F86" s="611"/>
      <c r="G86" s="611"/>
      <c r="H86" s="611"/>
      <c r="I86" s="611"/>
      <c r="J86" s="611"/>
      <c r="K86" s="611"/>
      <c r="L86" s="611"/>
    </row>
    <row r="87" spans="3:12">
      <c r="D87" s="611"/>
      <c r="E87" s="611"/>
      <c r="F87" s="611"/>
      <c r="G87" s="611"/>
      <c r="H87" s="611"/>
      <c r="I87" s="611"/>
      <c r="J87" s="611"/>
      <c r="K87" s="611"/>
      <c r="L87" s="611"/>
    </row>
    <row r="88" spans="3:12">
      <c r="D88" s="611"/>
      <c r="E88" s="611"/>
      <c r="F88" s="611"/>
      <c r="G88" s="611"/>
      <c r="H88" s="611"/>
      <c r="I88" s="611"/>
      <c r="J88" s="611"/>
      <c r="K88" s="611"/>
      <c r="L88" s="611"/>
    </row>
    <row r="90" spans="3:12">
      <c r="C90" s="611"/>
      <c r="D90" s="611"/>
      <c r="E90" s="611"/>
      <c r="F90" s="611"/>
      <c r="G90" s="611"/>
      <c r="H90" s="611"/>
      <c r="I90" s="611"/>
      <c r="J90" s="611"/>
      <c r="K90" s="611"/>
      <c r="L90" s="611"/>
    </row>
    <row r="91" spans="3:12">
      <c r="C91" s="611"/>
      <c r="D91" s="611"/>
      <c r="E91" s="611"/>
      <c r="F91" s="611"/>
      <c r="G91" s="611"/>
      <c r="H91" s="611"/>
      <c r="I91" s="611"/>
      <c r="J91" s="611"/>
      <c r="K91" s="611"/>
      <c r="L91" s="611"/>
    </row>
    <row r="92" spans="3:12">
      <c r="C92" s="611"/>
      <c r="D92" s="611"/>
      <c r="E92" s="611"/>
      <c r="F92" s="611"/>
      <c r="G92" s="611"/>
      <c r="H92" s="611"/>
      <c r="I92" s="611"/>
      <c r="J92" s="611"/>
      <c r="K92" s="611"/>
      <c r="L92" s="611"/>
    </row>
    <row r="93" spans="3:12">
      <c r="C93" s="611"/>
      <c r="D93" s="611"/>
      <c r="E93" s="611"/>
      <c r="F93" s="611"/>
      <c r="G93" s="611"/>
      <c r="H93" s="611"/>
      <c r="I93" s="611"/>
      <c r="J93" s="611"/>
      <c r="K93" s="611"/>
      <c r="L93" s="611"/>
    </row>
    <row r="94" spans="3:12">
      <c r="C94" s="611"/>
      <c r="D94" s="611"/>
      <c r="E94" s="611"/>
      <c r="F94" s="611"/>
      <c r="G94" s="611"/>
      <c r="H94" s="611"/>
      <c r="I94" s="611"/>
      <c r="J94" s="611"/>
      <c r="K94" s="611"/>
      <c r="L94" s="611"/>
    </row>
    <row r="95" spans="3:12">
      <c r="C95" s="611"/>
      <c r="D95" s="611"/>
      <c r="E95" s="611"/>
      <c r="F95" s="611"/>
      <c r="G95" s="611"/>
      <c r="H95" s="611"/>
      <c r="I95" s="611"/>
      <c r="J95" s="611"/>
      <c r="K95" s="611"/>
      <c r="L95" s="611"/>
    </row>
    <row r="96" spans="3:12">
      <c r="C96" s="611"/>
      <c r="D96" s="611"/>
      <c r="E96" s="611"/>
      <c r="F96" s="611"/>
      <c r="G96" s="611"/>
      <c r="H96" s="611"/>
      <c r="I96" s="611"/>
      <c r="J96" s="611"/>
      <c r="K96" s="611"/>
      <c r="L96" s="611"/>
    </row>
    <row r="97" spans="3:12">
      <c r="C97" s="611"/>
      <c r="D97" s="611"/>
      <c r="E97" s="611"/>
      <c r="F97" s="611"/>
      <c r="G97" s="611"/>
      <c r="H97" s="611"/>
      <c r="I97" s="611"/>
      <c r="J97" s="611"/>
      <c r="K97" s="611"/>
      <c r="L97" s="611"/>
    </row>
    <row r="98" spans="3:12">
      <c r="C98" s="611"/>
      <c r="D98" s="611"/>
      <c r="E98" s="611"/>
      <c r="F98" s="611"/>
      <c r="G98" s="611"/>
      <c r="H98" s="611"/>
      <c r="I98" s="611"/>
      <c r="J98" s="611"/>
      <c r="K98" s="611"/>
      <c r="L98" s="611"/>
    </row>
    <row r="99" spans="3:12">
      <c r="C99" s="611"/>
      <c r="D99" s="611"/>
      <c r="E99" s="611"/>
      <c r="F99" s="611"/>
      <c r="G99" s="611"/>
      <c r="H99" s="611"/>
      <c r="I99" s="611"/>
      <c r="J99" s="611"/>
      <c r="K99" s="611"/>
      <c r="L99" s="611"/>
    </row>
    <row r="100" spans="3:12">
      <c r="C100" s="611"/>
      <c r="D100" s="611"/>
      <c r="E100" s="611"/>
      <c r="F100" s="611"/>
      <c r="G100" s="611"/>
      <c r="H100" s="611"/>
      <c r="I100" s="611"/>
      <c r="J100" s="611"/>
      <c r="K100" s="611"/>
      <c r="L100" s="611"/>
    </row>
  </sheetData>
  <sheetProtection insertColumns="0" insertRows="0" deleteColumns="0" deleteRows="0"/>
  <mergeCells count="15">
    <mergeCell ref="A1:L1"/>
    <mergeCell ref="A76:E76"/>
    <mergeCell ref="A3:B3"/>
    <mergeCell ref="C3:F3"/>
    <mergeCell ref="A4:B4"/>
    <mergeCell ref="C4:F4"/>
    <mergeCell ref="A5:B5"/>
    <mergeCell ref="C5:F5"/>
    <mergeCell ref="A6:B6"/>
    <mergeCell ref="C6:F6"/>
    <mergeCell ref="A10:B11"/>
    <mergeCell ref="C10:C11"/>
    <mergeCell ref="D10:L10"/>
    <mergeCell ref="A8:L8"/>
    <mergeCell ref="A74:L74"/>
  </mergeCells>
  <pageMargins left="0.7" right="0.7" top="0.75" bottom="0.75" header="0.3" footer="0.3"/>
  <pageSetup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590"/>
  <sheetViews>
    <sheetView zoomScaleNormal="100" workbookViewId="0">
      <selection sqref="A1:N1"/>
    </sheetView>
  </sheetViews>
  <sheetFormatPr defaultColWidth="8.81640625" defaultRowHeight="13"/>
  <cols>
    <col min="1" max="1" width="8" style="411" customWidth="1"/>
    <col min="2" max="2" width="8.81640625" style="411" customWidth="1"/>
    <col min="3" max="4" width="14.1796875" style="411" customWidth="1"/>
    <col min="5" max="5" width="14.81640625" style="411" customWidth="1"/>
    <col min="6" max="6" width="13.81640625" style="411" customWidth="1"/>
    <col min="7" max="7" width="14.453125" style="411" customWidth="1"/>
    <col min="8" max="8" width="15.1796875" style="411" customWidth="1"/>
    <col min="9" max="9" width="14.453125" style="411" customWidth="1"/>
    <col min="10" max="10" width="14.81640625" style="411" customWidth="1"/>
    <col min="11" max="11" width="15.81640625" style="411" customWidth="1"/>
    <col min="12" max="12" width="14.453125" style="411" customWidth="1"/>
    <col min="13" max="13" width="14.1796875" style="411" customWidth="1"/>
    <col min="14" max="14" width="15" style="411" customWidth="1"/>
    <col min="15" max="16384" width="8.81640625" style="411"/>
  </cols>
  <sheetData>
    <row r="1" spans="1:14">
      <c r="A1" s="716" t="s">
        <v>335</v>
      </c>
      <c r="B1" s="716"/>
      <c r="C1" s="716"/>
      <c r="D1" s="716"/>
      <c r="E1" s="716"/>
      <c r="F1" s="716"/>
      <c r="G1" s="716"/>
      <c r="H1" s="716"/>
      <c r="I1" s="716"/>
      <c r="J1" s="716"/>
      <c r="K1" s="716"/>
      <c r="L1" s="716"/>
      <c r="M1" s="716"/>
      <c r="N1" s="716"/>
    </row>
    <row r="3" spans="1:14">
      <c r="A3" s="91" t="s">
        <v>336</v>
      </c>
    </row>
    <row r="4" spans="1:14">
      <c r="A4" s="65"/>
      <c r="B4" s="65"/>
      <c r="C4" s="65"/>
      <c r="D4" s="65"/>
      <c r="E4" s="65"/>
      <c r="F4" s="65"/>
      <c r="G4" s="65"/>
      <c r="H4" s="65"/>
      <c r="I4" s="65"/>
      <c r="J4" s="65"/>
      <c r="K4" s="65"/>
      <c r="L4" s="65"/>
      <c r="M4" s="65"/>
      <c r="N4" s="65"/>
    </row>
    <row r="5" spans="1:14" ht="14.5">
      <c r="A5" s="870" t="s">
        <v>337</v>
      </c>
      <c r="B5" s="870"/>
      <c r="C5" s="870"/>
      <c r="D5" s="870"/>
      <c r="E5" s="870"/>
      <c r="F5" s="870"/>
      <c r="G5" s="870"/>
      <c r="H5" s="870"/>
      <c r="I5" s="870"/>
      <c r="J5" s="870"/>
      <c r="K5" s="870"/>
      <c r="L5" s="870"/>
      <c r="M5" s="870"/>
      <c r="N5" s="870"/>
    </row>
    <row r="6" spans="1:14" s="412" customFormat="1" ht="20.149999999999999" customHeight="1">
      <c r="A6" s="830" t="s">
        <v>98</v>
      </c>
      <c r="B6" s="831"/>
      <c r="C6" s="874" t="s">
        <v>324</v>
      </c>
      <c r="D6" s="871" t="s">
        <v>338</v>
      </c>
      <c r="E6" s="872"/>
      <c r="F6" s="872"/>
      <c r="G6" s="872"/>
      <c r="H6" s="872"/>
      <c r="I6" s="872"/>
      <c r="J6" s="872"/>
      <c r="K6" s="872"/>
      <c r="L6" s="872"/>
      <c r="M6" s="872"/>
      <c r="N6" s="873"/>
    </row>
    <row r="7" spans="1:14" s="412" customFormat="1" ht="61" customHeight="1">
      <c r="A7" s="832"/>
      <c r="B7" s="833"/>
      <c r="C7" s="875"/>
      <c r="D7" s="556" t="s">
        <v>339</v>
      </c>
      <c r="E7" s="556" t="s">
        <v>215</v>
      </c>
      <c r="F7" s="556" t="s">
        <v>340</v>
      </c>
      <c r="G7" s="556" t="s">
        <v>341</v>
      </c>
      <c r="H7" s="556" t="s">
        <v>342</v>
      </c>
      <c r="I7" s="556" t="s">
        <v>343</v>
      </c>
      <c r="J7" s="557" t="s">
        <v>344</v>
      </c>
      <c r="K7" s="557" t="s">
        <v>345</v>
      </c>
      <c r="L7" s="557" t="s">
        <v>346</v>
      </c>
      <c r="M7" s="478" t="s">
        <v>347</v>
      </c>
      <c r="N7" s="478" t="s">
        <v>348</v>
      </c>
    </row>
    <row r="8" spans="1:14" ht="14.5">
      <c r="A8" s="472">
        <v>2020</v>
      </c>
      <c r="B8" s="559" t="s">
        <v>112</v>
      </c>
      <c r="C8" s="404">
        <v>50</v>
      </c>
      <c r="D8" s="403">
        <v>50.140525195173879</v>
      </c>
      <c r="E8" s="403">
        <v>50.228551085795658</v>
      </c>
      <c r="F8" s="403">
        <v>50.011239368165249</v>
      </c>
      <c r="G8" s="403">
        <v>50.08823993685872</v>
      </c>
      <c r="H8" s="403">
        <v>50.068049254698636</v>
      </c>
      <c r="I8" s="403">
        <v>50.014285714285712</v>
      </c>
      <c r="J8" s="403">
        <v>50.007808142777471</v>
      </c>
      <c r="K8" s="403">
        <v>50.546899841017485</v>
      </c>
      <c r="L8" s="402">
        <v>49.709373986376903</v>
      </c>
      <c r="M8" s="403">
        <v>50.049840255591057</v>
      </c>
      <c r="N8" s="403">
        <v>50.038456591639871</v>
      </c>
    </row>
    <row r="9" spans="1:14">
      <c r="A9" s="449"/>
      <c r="B9" s="559" t="s">
        <v>113</v>
      </c>
      <c r="C9" s="404">
        <v>50</v>
      </c>
      <c r="D9" s="405">
        <v>50.77350246652572</v>
      </c>
      <c r="E9" s="405">
        <v>49.940409026798307</v>
      </c>
      <c r="F9" s="405">
        <v>50.012048192771083</v>
      </c>
      <c r="G9" s="405">
        <v>49.883275261324044</v>
      </c>
      <c r="H9" s="405">
        <v>50.086788813886209</v>
      </c>
      <c r="I9" s="405">
        <v>50.052709725315516</v>
      </c>
      <c r="J9" s="405">
        <v>49.908032596041906</v>
      </c>
      <c r="K9" s="405">
        <v>50.121451104100949</v>
      </c>
      <c r="L9" s="404">
        <v>50.233142353459677</v>
      </c>
      <c r="M9" s="405">
        <v>49.75785896346644</v>
      </c>
      <c r="N9" s="405">
        <v>49.957741559953433</v>
      </c>
    </row>
    <row r="10" spans="1:14">
      <c r="A10" s="449"/>
      <c r="B10" s="559" t="s">
        <v>114</v>
      </c>
      <c r="C10" s="404">
        <v>50</v>
      </c>
      <c r="D10" s="405">
        <v>50.088458434221145</v>
      </c>
      <c r="E10" s="405">
        <v>49.921508034610632</v>
      </c>
      <c r="F10" s="405">
        <v>49.9922358205027</v>
      </c>
      <c r="G10" s="405">
        <v>49.867778541953236</v>
      </c>
      <c r="H10" s="405">
        <v>49.967924021145059</v>
      </c>
      <c r="I10" s="405">
        <v>49.969858156028366</v>
      </c>
      <c r="J10" s="405">
        <v>50.525417151726813</v>
      </c>
      <c r="K10" s="405">
        <v>50</v>
      </c>
      <c r="L10" s="404">
        <v>50.408721804511281</v>
      </c>
      <c r="M10" s="405">
        <v>50.0032154340836</v>
      </c>
      <c r="N10" s="405">
        <v>49.999455989555003</v>
      </c>
    </row>
    <row r="11" spans="1:14">
      <c r="A11" s="449"/>
      <c r="B11" s="559" t="s">
        <v>115</v>
      </c>
      <c r="C11" s="404">
        <v>50</v>
      </c>
      <c r="D11" s="405">
        <v>50.017430754536768</v>
      </c>
      <c r="E11" s="405">
        <v>49.96876549330689</v>
      </c>
      <c r="F11" s="405">
        <v>49.965884279475979</v>
      </c>
      <c r="G11" s="405">
        <v>50.016014373877042</v>
      </c>
      <c r="H11" s="405">
        <v>49.975143136433459</v>
      </c>
      <c r="I11" s="405">
        <v>50.045071609098571</v>
      </c>
      <c r="J11" s="405">
        <v>50.444315095071786</v>
      </c>
      <c r="K11" s="405">
        <v>49.999032882011605</v>
      </c>
      <c r="L11" s="404">
        <v>50.237606336168966</v>
      </c>
      <c r="M11" s="405">
        <v>49.900808625336929</v>
      </c>
      <c r="N11" s="405">
        <v>50.045480847124175</v>
      </c>
    </row>
    <row r="12" spans="1:14">
      <c r="A12" s="449"/>
      <c r="B12" s="560" t="s">
        <v>116</v>
      </c>
      <c r="C12" s="406">
        <v>50</v>
      </c>
      <c r="D12" s="407">
        <v>50.112759643916917</v>
      </c>
      <c r="E12" s="407">
        <v>50.11705685618729</v>
      </c>
      <c r="F12" s="407">
        <v>49.783506583506586</v>
      </c>
      <c r="G12" s="407">
        <v>50.436471663619741</v>
      </c>
      <c r="H12" s="407">
        <v>49.978723404255319</v>
      </c>
      <c r="I12" s="407">
        <v>50.239880059970012</v>
      </c>
      <c r="J12" s="407">
        <v>50.103608847497092</v>
      </c>
      <c r="K12" s="407">
        <v>49.974110032362461</v>
      </c>
      <c r="L12" s="406">
        <v>50.737612612612615</v>
      </c>
      <c r="M12" s="407">
        <v>49.738041002277903</v>
      </c>
      <c r="N12" s="407">
        <v>50.015584750128802</v>
      </c>
    </row>
    <row r="13" spans="1:14" ht="14.5">
      <c r="A13" s="471">
        <v>2021</v>
      </c>
      <c r="B13" s="559" t="s">
        <v>105</v>
      </c>
      <c r="C13" s="404">
        <v>50</v>
      </c>
      <c r="D13" s="405">
        <v>50.233869798463097</v>
      </c>
      <c r="E13" s="405">
        <v>50.103077816492451</v>
      </c>
      <c r="F13" s="405">
        <v>49.862371888726209</v>
      </c>
      <c r="G13" s="405">
        <v>50.049518569463551</v>
      </c>
      <c r="H13" s="405">
        <v>50.044650911058994</v>
      </c>
      <c r="I13" s="405">
        <v>50.442764578833696</v>
      </c>
      <c r="J13" s="405">
        <v>50.350061199510407</v>
      </c>
      <c r="K13" s="405">
        <v>49.922953451043341</v>
      </c>
      <c r="L13" s="404">
        <v>49.541615289765723</v>
      </c>
      <c r="M13" s="403">
        <v>50.325834542815677</v>
      </c>
      <c r="N13" s="403">
        <v>50.056853901872351</v>
      </c>
    </row>
    <row r="14" spans="1:14">
      <c r="A14" s="449"/>
      <c r="B14" s="559" t="s">
        <v>106</v>
      </c>
      <c r="C14" s="404">
        <v>50</v>
      </c>
      <c r="D14" s="405">
        <v>50.852259950528449</v>
      </c>
      <c r="E14" s="405">
        <v>49.829320113314445</v>
      </c>
      <c r="F14" s="405">
        <v>49.947939580583665</v>
      </c>
      <c r="G14" s="405">
        <v>50.020769072588934</v>
      </c>
      <c r="H14" s="405">
        <v>49.956254050550875</v>
      </c>
      <c r="I14" s="405">
        <v>50.487204724409452</v>
      </c>
      <c r="J14" s="405">
        <v>50.10485516115871</v>
      </c>
      <c r="K14" s="405">
        <v>50.109780439121757</v>
      </c>
      <c r="L14" s="404">
        <v>49.983745583038868</v>
      </c>
      <c r="M14" s="405">
        <v>50.138888888888886</v>
      </c>
      <c r="N14" s="405">
        <v>50.00662739322533</v>
      </c>
    </row>
    <row r="15" spans="1:14">
      <c r="A15" s="449"/>
      <c r="B15" s="559" t="s">
        <v>107</v>
      </c>
      <c r="C15" s="404">
        <v>50</v>
      </c>
      <c r="D15" s="405">
        <v>50.734939759036145</v>
      </c>
      <c r="E15" s="405">
        <v>50.198836081474298</v>
      </c>
      <c r="F15" s="405">
        <v>50.30687981729946</v>
      </c>
      <c r="G15" s="405">
        <v>49.844420791200996</v>
      </c>
      <c r="H15" s="405">
        <v>50.042637047653173</v>
      </c>
      <c r="I15" s="405">
        <v>49.977736549165122</v>
      </c>
      <c r="J15" s="405">
        <v>50.62048894062864</v>
      </c>
      <c r="K15" s="405">
        <v>49.916532905296947</v>
      </c>
      <c r="L15" s="404">
        <v>50.473177441540578</v>
      </c>
      <c r="M15" s="405">
        <v>50.195535714285711</v>
      </c>
      <c r="N15" s="405">
        <v>50.186087615200101</v>
      </c>
    </row>
    <row r="16" spans="1:14">
      <c r="A16" s="449"/>
      <c r="B16" s="559" t="s">
        <v>108</v>
      </c>
      <c r="C16" s="404">
        <v>50</v>
      </c>
      <c r="D16" s="405">
        <v>50.61665449233017</v>
      </c>
      <c r="E16" s="405">
        <v>50.070987654320987</v>
      </c>
      <c r="F16" s="405">
        <v>49.961343385880738</v>
      </c>
      <c r="G16" s="405">
        <v>50.429102496016995</v>
      </c>
      <c r="H16" s="405">
        <v>50.111768802228411</v>
      </c>
      <c r="I16" s="405">
        <v>50.382791922739244</v>
      </c>
      <c r="J16" s="405">
        <v>50.147956544231761</v>
      </c>
      <c r="K16" s="405">
        <v>50.011551155115512</v>
      </c>
      <c r="L16" s="404">
        <v>49.325085060315494</v>
      </c>
      <c r="M16" s="405">
        <v>49.883834281072296</v>
      </c>
      <c r="N16" s="405">
        <v>50.060102478881042</v>
      </c>
    </row>
    <row r="17" spans="1:14">
      <c r="A17" s="449"/>
      <c r="B17" s="559" t="s">
        <v>109</v>
      </c>
      <c r="C17" s="404">
        <v>50</v>
      </c>
      <c r="D17" s="405">
        <v>49.887183422870301</v>
      </c>
      <c r="E17" s="405">
        <v>50.027101200686104</v>
      </c>
      <c r="F17" s="405">
        <v>49.860483447188649</v>
      </c>
      <c r="G17" s="405">
        <v>50.236729713239782</v>
      </c>
      <c r="H17" s="405">
        <v>49.922239502332815</v>
      </c>
      <c r="I17" s="405">
        <v>50.512378902045214</v>
      </c>
      <c r="J17" s="405">
        <v>50.440636474908203</v>
      </c>
      <c r="K17" s="405">
        <v>50.121794871794869</v>
      </c>
      <c r="L17" s="404">
        <v>50.792164179104475</v>
      </c>
      <c r="M17" s="405">
        <v>50.150662251655632</v>
      </c>
      <c r="N17" s="405">
        <v>50.229486422668238</v>
      </c>
    </row>
    <row r="18" spans="1:14">
      <c r="A18" s="449"/>
      <c r="B18" s="559" t="s">
        <v>110</v>
      </c>
      <c r="C18" s="404">
        <v>50</v>
      </c>
      <c r="D18" s="405">
        <v>50.226153619342476</v>
      </c>
      <c r="E18" s="405">
        <v>50.073703041144903</v>
      </c>
      <c r="F18" s="405">
        <v>49.928823612484109</v>
      </c>
      <c r="G18" s="405">
        <v>49.892540540540537</v>
      </c>
      <c r="H18" s="405">
        <v>50.070947144377399</v>
      </c>
      <c r="I18" s="405">
        <v>50.344162436548224</v>
      </c>
      <c r="J18" s="405">
        <v>49.954712362301102</v>
      </c>
      <c r="K18" s="405">
        <v>49.995106035889073</v>
      </c>
      <c r="L18" s="404">
        <v>49.81568958245466</v>
      </c>
      <c r="M18" s="405">
        <v>49.616923076923079</v>
      </c>
      <c r="N18" s="405">
        <v>50.068042211371868</v>
      </c>
    </row>
    <row r="19" spans="1:14">
      <c r="A19" s="449"/>
      <c r="B19" s="559" t="s">
        <v>117</v>
      </c>
      <c r="C19" s="404">
        <v>50</v>
      </c>
      <c r="D19" s="405">
        <v>50.031803227322577</v>
      </c>
      <c r="E19" s="405">
        <v>50.075227963525833</v>
      </c>
      <c r="F19" s="405">
        <v>50.004355767879723</v>
      </c>
      <c r="G19" s="405">
        <v>49.847454046059582</v>
      </c>
      <c r="H19" s="405">
        <v>50.040554592720973</v>
      </c>
      <c r="I19" s="405">
        <v>50.466737064413941</v>
      </c>
      <c r="J19" s="405">
        <v>49.935944512443903</v>
      </c>
      <c r="K19" s="405">
        <v>50.003189792663477</v>
      </c>
      <c r="L19" s="404">
        <v>50.053897180762853</v>
      </c>
      <c r="M19" s="405">
        <v>50.054667788057188</v>
      </c>
      <c r="N19" s="405">
        <v>50.060076750033083</v>
      </c>
    </row>
    <row r="20" spans="1:14">
      <c r="A20" s="449"/>
      <c r="B20" s="559" t="s">
        <v>112</v>
      </c>
      <c r="C20" s="404">
        <v>50</v>
      </c>
      <c r="D20" s="405">
        <v>50.516041747197526</v>
      </c>
      <c r="E20" s="405">
        <v>49.755297050270045</v>
      </c>
      <c r="F20" s="405">
        <v>49.556892402887591</v>
      </c>
      <c r="G20" s="405">
        <v>49.599053926206246</v>
      </c>
      <c r="H20" s="405">
        <v>50.360042735042732</v>
      </c>
      <c r="I20" s="405">
        <v>50.372756071805703</v>
      </c>
      <c r="J20" s="405">
        <v>49.984207201516107</v>
      </c>
      <c r="K20" s="405">
        <v>49.334431630971991</v>
      </c>
      <c r="L20" s="404">
        <v>49.276430976430973</v>
      </c>
      <c r="M20" s="405">
        <v>49.847926267281103</v>
      </c>
      <c r="N20" s="405">
        <v>49.953127226100584</v>
      </c>
    </row>
    <row r="21" spans="1:14">
      <c r="A21" s="449"/>
      <c r="B21" s="559" t="s">
        <v>113</v>
      </c>
      <c r="C21" s="404">
        <v>50</v>
      </c>
      <c r="D21" s="405">
        <v>49.150281507145948</v>
      </c>
      <c r="E21" s="405">
        <v>49.48669741042923</v>
      </c>
      <c r="F21" s="405">
        <v>49.278996315143011</v>
      </c>
      <c r="G21" s="405">
        <v>49.584228798148452</v>
      </c>
      <c r="H21" s="405">
        <v>49.408974358974362</v>
      </c>
      <c r="I21" s="405">
        <v>50.021455938697315</v>
      </c>
      <c r="J21" s="405">
        <v>49.305664610207515</v>
      </c>
      <c r="K21" s="405">
        <v>49.760330578512395</v>
      </c>
      <c r="L21" s="404">
        <v>49.252961082910325</v>
      </c>
      <c r="M21" s="405">
        <v>49.477272727272727</v>
      </c>
      <c r="N21" s="405">
        <v>49.180101416331524</v>
      </c>
    </row>
    <row r="22" spans="1:14">
      <c r="A22" s="449"/>
      <c r="B22" s="559" t="s">
        <v>114</v>
      </c>
      <c r="C22" s="404">
        <v>50</v>
      </c>
      <c r="D22" s="405">
        <v>50.721375103964512</v>
      </c>
      <c r="E22" s="405">
        <v>49.407789613848202</v>
      </c>
      <c r="F22" s="405">
        <v>49.590697674418607</v>
      </c>
      <c r="G22" s="405">
        <v>49.706090174966356</v>
      </c>
      <c r="H22" s="405">
        <v>49.406885758998435</v>
      </c>
      <c r="I22" s="405">
        <v>50.052527254707634</v>
      </c>
      <c r="J22" s="405">
        <v>49.263924050632909</v>
      </c>
      <c r="K22" s="405">
        <v>49.824156305506214</v>
      </c>
      <c r="L22" s="404">
        <v>49.722833562585969</v>
      </c>
      <c r="M22" s="405">
        <v>49.798850574712645</v>
      </c>
      <c r="N22" s="405">
        <v>49.75750834260289</v>
      </c>
    </row>
    <row r="23" spans="1:14">
      <c r="A23" s="449"/>
      <c r="B23" s="559" t="s">
        <v>115</v>
      </c>
      <c r="C23" s="404">
        <v>50</v>
      </c>
      <c r="D23" s="405">
        <v>50.134897745149452</v>
      </c>
      <c r="E23" s="405">
        <v>49.862385321100916</v>
      </c>
      <c r="F23" s="405">
        <v>49.511504120879124</v>
      </c>
      <c r="G23" s="405">
        <v>50.068030524435784</v>
      </c>
      <c r="H23" s="405">
        <v>50.328638497652584</v>
      </c>
      <c r="I23" s="405">
        <v>50.075096277278561</v>
      </c>
      <c r="J23" s="405">
        <v>49.93101265822785</v>
      </c>
      <c r="K23" s="405">
        <v>50.061302681992338</v>
      </c>
      <c r="L23" s="404">
        <v>50.215239154616242</v>
      </c>
      <c r="M23" s="405">
        <v>49.734042553191486</v>
      </c>
      <c r="N23" s="405">
        <v>49.989364364364363</v>
      </c>
    </row>
    <row r="24" spans="1:14">
      <c r="A24" s="451"/>
      <c r="B24" s="560" t="s">
        <v>116</v>
      </c>
      <c r="C24" s="406">
        <v>50</v>
      </c>
      <c r="D24" s="407">
        <v>50.329548420777861</v>
      </c>
      <c r="E24" s="407">
        <v>49.997387328543432</v>
      </c>
      <c r="F24" s="407">
        <v>49.503168396925979</v>
      </c>
      <c r="G24" s="407">
        <v>50.316473988439306</v>
      </c>
      <c r="H24" s="407">
        <v>50.587360594795541</v>
      </c>
      <c r="I24" s="407">
        <v>50.609529702970299</v>
      </c>
      <c r="J24" s="407">
        <v>50.390300230946885</v>
      </c>
      <c r="K24" s="407">
        <v>50.049828178694156</v>
      </c>
      <c r="L24" s="407">
        <v>50.539325842696627</v>
      </c>
      <c r="M24" s="407">
        <v>50.236725663716811</v>
      </c>
      <c r="N24" s="407">
        <v>49.880662815445426</v>
      </c>
    </row>
    <row r="25" spans="1:14" ht="14.5">
      <c r="A25" s="471">
        <v>2022</v>
      </c>
      <c r="B25" s="558" t="s">
        <v>105</v>
      </c>
      <c r="C25" s="403">
        <v>50</v>
      </c>
      <c r="D25" s="403">
        <v>50.469353484466836</v>
      </c>
      <c r="E25" s="403">
        <v>50.115144302290986</v>
      </c>
      <c r="F25" s="403">
        <v>49.70549993498895</v>
      </c>
      <c r="G25" s="403">
        <v>50.224362606232297</v>
      </c>
      <c r="H25" s="403">
        <v>49.770707070707068</v>
      </c>
      <c r="I25" s="403">
        <v>50.013968775677895</v>
      </c>
      <c r="J25" s="403">
        <v>50.464412811387902</v>
      </c>
      <c r="K25" s="403">
        <v>50.056910569105689</v>
      </c>
      <c r="L25" s="403">
        <v>50.395049504950492</v>
      </c>
      <c r="M25" s="403">
        <v>50.25777470628887</v>
      </c>
      <c r="N25" s="403">
        <v>49.989434351243396</v>
      </c>
    </row>
    <row r="26" spans="1:14" ht="14.5">
      <c r="A26" s="472"/>
      <c r="B26" s="578" t="s">
        <v>106</v>
      </c>
      <c r="C26" s="405">
        <v>50</v>
      </c>
      <c r="D26" s="405">
        <v>50.240911294231701</v>
      </c>
      <c r="E26" s="405">
        <v>49.89110707803993</v>
      </c>
      <c r="F26" s="405">
        <v>49.656110330736816</v>
      </c>
      <c r="G26" s="405">
        <v>49.857973421926907</v>
      </c>
      <c r="H26" s="405">
        <v>50.076125946592271</v>
      </c>
      <c r="I26" s="405">
        <v>49.772594752186592</v>
      </c>
      <c r="J26" s="405">
        <v>50.028024911032027</v>
      </c>
      <c r="K26" s="405">
        <v>49.606796116504853</v>
      </c>
      <c r="L26" s="405">
        <v>49.741765480895914</v>
      </c>
      <c r="M26" s="405">
        <v>49.843570843570845</v>
      </c>
      <c r="N26" s="405">
        <v>49.764314077110285</v>
      </c>
    </row>
    <row r="27" spans="1:14" ht="14.5">
      <c r="A27" s="472"/>
      <c r="B27" s="578" t="s">
        <v>107</v>
      </c>
      <c r="C27" s="405">
        <v>50</v>
      </c>
      <c r="D27" s="405">
        <v>50.479177377892029</v>
      </c>
      <c r="E27" s="405">
        <v>49.678303519907672</v>
      </c>
      <c r="F27" s="405">
        <v>49.554210456299053</v>
      </c>
      <c r="G27" s="405">
        <v>49.290763968072973</v>
      </c>
      <c r="H27" s="405">
        <v>49.963333333333331</v>
      </c>
      <c r="I27" s="405">
        <v>49.967717717717719</v>
      </c>
      <c r="J27" s="405">
        <v>50.646797153024913</v>
      </c>
      <c r="K27" s="405">
        <v>49.979661016949152</v>
      </c>
      <c r="L27" s="405">
        <v>49.312415836251013</v>
      </c>
      <c r="M27" s="405">
        <v>50.030235162374019</v>
      </c>
      <c r="N27" s="405">
        <v>49.575616573280264</v>
      </c>
    </row>
    <row r="28" spans="1:14" ht="14.5">
      <c r="A28" s="472"/>
      <c r="B28" s="578" t="s">
        <v>108</v>
      </c>
      <c r="C28" s="405">
        <v>50</v>
      </c>
      <c r="D28" s="405">
        <v>50.307459677419352</v>
      </c>
      <c r="E28" s="405">
        <v>49.976548186148776</v>
      </c>
      <c r="F28" s="405">
        <v>49.702777050039295</v>
      </c>
      <c r="G28" s="405">
        <v>50.409103602345716</v>
      </c>
      <c r="H28" s="405">
        <v>50.619274459508979</v>
      </c>
      <c r="I28" s="405">
        <v>49.919825072886297</v>
      </c>
      <c r="J28" s="405">
        <v>50.238434163701065</v>
      </c>
      <c r="K28" s="405">
        <v>50.042955326460479</v>
      </c>
      <c r="L28" s="405">
        <v>50.168476574619916</v>
      </c>
      <c r="M28" s="405">
        <v>50.099056603773583</v>
      </c>
      <c r="N28" s="405">
        <v>49.94203061599341</v>
      </c>
    </row>
    <row r="29" spans="1:14" ht="14.5">
      <c r="A29" s="472"/>
      <c r="B29" s="578" t="s">
        <v>109</v>
      </c>
      <c r="C29" s="405">
        <v>50</v>
      </c>
      <c r="D29" s="405">
        <v>49.979918185198962</v>
      </c>
      <c r="E29" s="405">
        <v>50.009894867037723</v>
      </c>
      <c r="F29" s="405">
        <v>50.1418755566866</v>
      </c>
      <c r="G29" s="405">
        <v>49.954014379868184</v>
      </c>
      <c r="H29" s="405">
        <v>50.851606805293002</v>
      </c>
      <c r="I29" s="405">
        <v>50.283033033033036</v>
      </c>
      <c r="J29" s="405">
        <v>49.989323843416372</v>
      </c>
      <c r="K29" s="405">
        <v>49.980099502487562</v>
      </c>
      <c r="L29" s="405">
        <v>50.307284768211922</v>
      </c>
      <c r="M29" s="405">
        <v>50.162520729684907</v>
      </c>
      <c r="N29" s="405">
        <v>49.941623852496875</v>
      </c>
    </row>
    <row r="30" spans="1:14" ht="14.5">
      <c r="A30" s="472"/>
      <c r="B30" s="578" t="s">
        <v>110</v>
      </c>
      <c r="C30" s="405">
        <v>50</v>
      </c>
      <c r="D30" s="405">
        <v>50.407378640776699</v>
      </c>
      <c r="E30" s="405">
        <v>50.101908957415567</v>
      </c>
      <c r="F30" s="405">
        <v>50.190282370897989</v>
      </c>
      <c r="G30" s="405">
        <v>49.801744647105473</v>
      </c>
      <c r="H30" s="405">
        <v>50.800079491255964</v>
      </c>
      <c r="I30" s="405">
        <v>50.026548672566371</v>
      </c>
      <c r="J30" s="405">
        <v>50.104092526690394</v>
      </c>
      <c r="K30" s="405">
        <v>50.014373716632441</v>
      </c>
      <c r="L30" s="405">
        <v>50.109893758300132</v>
      </c>
      <c r="M30" s="405">
        <v>50.444141689373296</v>
      </c>
      <c r="N30" s="405">
        <v>50.343111683216257</v>
      </c>
    </row>
    <row r="31" spans="1:14" ht="14.5">
      <c r="A31" s="472"/>
      <c r="B31" s="578" t="s">
        <v>117</v>
      </c>
      <c r="C31" s="405">
        <v>50</v>
      </c>
      <c r="D31" s="405">
        <v>50.576108870967744</v>
      </c>
      <c r="E31" s="405">
        <v>50.036860502065458</v>
      </c>
      <c r="F31" s="405">
        <v>50.020827264782987</v>
      </c>
      <c r="G31" s="405">
        <v>50.083560545308742</v>
      </c>
      <c r="H31" s="405">
        <v>50.683778966131911</v>
      </c>
      <c r="I31" s="405">
        <v>50.115602836879432</v>
      </c>
      <c r="J31" s="405">
        <v>50.654518950437321</v>
      </c>
      <c r="K31" s="405">
        <v>49.997907949790793</v>
      </c>
      <c r="L31" s="405">
        <v>50.331390728476819</v>
      </c>
      <c r="M31" s="405">
        <v>50.002635046113305</v>
      </c>
      <c r="N31" s="405">
        <v>49.935037390114069</v>
      </c>
    </row>
    <row r="32" spans="1:14" ht="14.5">
      <c r="A32" s="472"/>
      <c r="B32" s="578" t="s">
        <v>112</v>
      </c>
      <c r="C32" s="405">
        <v>50</v>
      </c>
      <c r="D32" s="405">
        <v>49.746598873162014</v>
      </c>
      <c r="E32" s="405">
        <v>50.112898827379333</v>
      </c>
      <c r="F32" s="405">
        <v>49.61049911600707</v>
      </c>
      <c r="G32" s="405">
        <v>49.847739361702125</v>
      </c>
      <c r="H32" s="405">
        <v>50.059308072487646</v>
      </c>
      <c r="I32" s="405">
        <v>50.099004100761569</v>
      </c>
      <c r="J32" s="405">
        <v>50.479092526690394</v>
      </c>
      <c r="K32" s="405">
        <v>49.956666666666663</v>
      </c>
      <c r="L32" s="405">
        <v>50.219255359157579</v>
      </c>
      <c r="M32" s="405">
        <v>50</v>
      </c>
      <c r="N32" s="405">
        <v>49.721495741730308</v>
      </c>
    </row>
    <row r="33" spans="1:14" ht="14.5">
      <c r="A33" s="472"/>
      <c r="B33" s="578" t="s">
        <v>113</v>
      </c>
      <c r="C33" s="405">
        <v>50</v>
      </c>
      <c r="D33" s="405">
        <v>50.048465473145782</v>
      </c>
      <c r="E33" s="405">
        <v>49.938329646017699</v>
      </c>
      <c r="F33" s="405">
        <v>50.053175092478419</v>
      </c>
      <c r="G33" s="405">
        <v>49.711516203703702</v>
      </c>
      <c r="H33" s="405">
        <v>50.65115532734275</v>
      </c>
      <c r="I33" s="405">
        <v>49.960990712074306</v>
      </c>
      <c r="J33" s="405">
        <v>50.45017793594306</v>
      </c>
      <c r="K33" s="405">
        <v>50.062176165803109</v>
      </c>
      <c r="L33" s="405">
        <v>50.202503209242622</v>
      </c>
      <c r="M33" s="405">
        <v>50.310267857142854</v>
      </c>
      <c r="N33" s="405">
        <v>49.880061651564269</v>
      </c>
    </row>
    <row r="34" spans="1:14" ht="14.5">
      <c r="A34" s="472"/>
      <c r="B34" s="578" t="s">
        <v>114</v>
      </c>
      <c r="C34" s="405">
        <v>50</v>
      </c>
      <c r="D34" s="405">
        <v>49.892733118971059</v>
      </c>
      <c r="E34" s="405">
        <v>49.899755501222494</v>
      </c>
      <c r="F34" s="405">
        <v>50.299757649197211</v>
      </c>
      <c r="G34" s="405">
        <v>49.824970828471415</v>
      </c>
      <c r="H34" s="405">
        <v>49.340782122905026</v>
      </c>
      <c r="I34" s="405">
        <v>50.324601366742598</v>
      </c>
      <c r="J34" s="405">
        <v>50.508604206500955</v>
      </c>
      <c r="K34" s="405">
        <v>50.039832285115303</v>
      </c>
      <c r="L34" s="405">
        <v>49.877119752355846</v>
      </c>
      <c r="M34" s="405">
        <v>50.245080447899831</v>
      </c>
      <c r="N34" s="405">
        <v>49.888802232323556</v>
      </c>
    </row>
    <row r="35" spans="1:14" ht="14.5">
      <c r="A35" s="472"/>
      <c r="B35" s="578" t="s">
        <v>115</v>
      </c>
      <c r="C35" s="405">
        <v>50</v>
      </c>
      <c r="D35" s="405">
        <v>50.40748841996912</v>
      </c>
      <c r="E35" s="405">
        <v>50.020408163265309</v>
      </c>
      <c r="F35" s="405">
        <v>49.869804142595463</v>
      </c>
      <c r="G35" s="405">
        <v>49.816018888485289</v>
      </c>
      <c r="H35" s="405">
        <v>50</v>
      </c>
      <c r="I35" s="405">
        <v>50.002906976744185</v>
      </c>
      <c r="J35" s="405">
        <v>50.801908396946565</v>
      </c>
      <c r="K35" s="405">
        <v>50.012389380530976</v>
      </c>
      <c r="L35" s="405">
        <v>50.062756268708299</v>
      </c>
      <c r="M35" s="405">
        <v>49.960108789384051</v>
      </c>
      <c r="N35" s="405">
        <v>49.965794246587436</v>
      </c>
    </row>
    <row r="36" spans="1:14" ht="14.5">
      <c r="A36" s="473"/>
      <c r="B36" s="576" t="s">
        <v>116</v>
      </c>
      <c r="C36" s="407">
        <v>50</v>
      </c>
      <c r="D36" s="407">
        <v>50.070690811535883</v>
      </c>
      <c r="E36" s="407">
        <v>50.014474899907604</v>
      </c>
      <c r="F36" s="407">
        <v>49.596666666666664</v>
      </c>
      <c r="G36" s="407">
        <v>49.781010949452529</v>
      </c>
      <c r="H36" s="407">
        <v>50.412991178829188</v>
      </c>
      <c r="I36" s="407">
        <v>50.134696331930243</v>
      </c>
      <c r="J36" s="407">
        <v>49.974809160305341</v>
      </c>
      <c r="K36" s="407">
        <v>49.984320557491287</v>
      </c>
      <c r="L36" s="407">
        <v>50.242027371460637</v>
      </c>
      <c r="M36" s="407">
        <v>49.95737704918033</v>
      </c>
      <c r="N36" s="407">
        <v>50.292393094361586</v>
      </c>
    </row>
    <row r="37" spans="1:14" ht="14.5">
      <c r="A37" s="471">
        <v>2023</v>
      </c>
      <c r="B37" s="577" t="s">
        <v>105</v>
      </c>
      <c r="C37" s="403">
        <v>50</v>
      </c>
      <c r="D37" s="403">
        <v>49.933893627696939</v>
      </c>
      <c r="E37" s="403">
        <v>50.030077728962489</v>
      </c>
      <c r="F37" s="403">
        <v>49.909215955983491</v>
      </c>
      <c r="G37" s="403">
        <v>49.953187613843355</v>
      </c>
      <c r="H37" s="403">
        <v>49.354452054794521</v>
      </c>
      <c r="I37" s="403">
        <v>50.189005558987027</v>
      </c>
      <c r="J37" s="403">
        <v>50.192248656945509</v>
      </c>
      <c r="K37" s="403">
        <v>50.037671232876711</v>
      </c>
      <c r="L37" s="403">
        <v>50.198256242001392</v>
      </c>
      <c r="M37" s="403">
        <v>50.328208865186674</v>
      </c>
      <c r="N37" s="403">
        <v>50.159844151049803</v>
      </c>
    </row>
    <row r="38" spans="1:14" ht="14.5">
      <c r="A38" s="472"/>
      <c r="B38" s="578" t="s">
        <v>106</v>
      </c>
      <c r="C38" s="405">
        <v>50</v>
      </c>
      <c r="D38" s="405">
        <v>50.256264236902048</v>
      </c>
      <c r="E38" s="405">
        <v>50.150184275184273</v>
      </c>
      <c r="F38" s="405">
        <v>49.948833819241983</v>
      </c>
      <c r="G38" s="405">
        <v>49.981906750173977</v>
      </c>
      <c r="H38" s="405">
        <v>49.241749808135076</v>
      </c>
      <c r="I38" s="405">
        <v>49.942521631644006</v>
      </c>
      <c r="J38" s="405">
        <v>49.942440521872605</v>
      </c>
      <c r="K38" s="405">
        <v>50.045138888888886</v>
      </c>
      <c r="L38" s="405">
        <v>49.635772383325531</v>
      </c>
      <c r="M38" s="405">
        <v>49.992214792360308</v>
      </c>
      <c r="N38" s="405">
        <v>50.385620520858303</v>
      </c>
    </row>
    <row r="39" spans="1:14" ht="14.5">
      <c r="A39" s="472"/>
      <c r="B39" s="578" t="s">
        <v>107</v>
      </c>
      <c r="C39" s="405">
        <v>50</v>
      </c>
      <c r="D39" s="405">
        <v>49.643878575012543</v>
      </c>
      <c r="E39" s="405">
        <v>50.255237533195633</v>
      </c>
      <c r="F39" s="405">
        <v>50.090710223129648</v>
      </c>
      <c r="G39" s="405">
        <v>50.12266148958701</v>
      </c>
      <c r="H39" s="405">
        <v>50.659140251845422</v>
      </c>
      <c r="I39" s="405">
        <v>50.193321616871707</v>
      </c>
      <c r="J39" s="405">
        <v>50.110130468150423</v>
      </c>
      <c r="K39" s="405">
        <v>49.997950819672134</v>
      </c>
      <c r="L39" s="405">
        <v>50.133469033192711</v>
      </c>
      <c r="M39" s="405">
        <v>49.945367325933354</v>
      </c>
      <c r="N39" s="405">
        <v>50.271920365497202</v>
      </c>
    </row>
    <row r="40" spans="1:14" ht="14.5">
      <c r="A40" s="472"/>
      <c r="B40" s="578" t="s">
        <v>108</v>
      </c>
      <c r="C40" s="405">
        <v>50</v>
      </c>
      <c r="D40" s="405">
        <v>49.664401463669627</v>
      </c>
      <c r="E40" s="405">
        <v>50.062965470548406</v>
      </c>
      <c r="F40" s="405">
        <v>49.810892018779342</v>
      </c>
      <c r="G40" s="405">
        <v>50.326509001058945</v>
      </c>
      <c r="H40" s="405">
        <v>50.207344379758176</v>
      </c>
      <c r="I40" s="405">
        <v>50.110847658565504</v>
      </c>
      <c r="J40" s="405">
        <v>50.044512663085186</v>
      </c>
      <c r="K40" s="405">
        <v>50.020522388059703</v>
      </c>
      <c r="L40" s="405">
        <v>50.096824774598197</v>
      </c>
      <c r="M40" s="405">
        <v>49.701051481269239</v>
      </c>
      <c r="N40" s="405">
        <v>50.107137319636543</v>
      </c>
    </row>
    <row r="41" spans="1:14" ht="14.5">
      <c r="A41" s="472"/>
      <c r="B41" s="578" t="s">
        <v>109</v>
      </c>
      <c r="C41" s="405">
        <v>50</v>
      </c>
      <c r="D41" s="405">
        <v>49.972962279082033</v>
      </c>
      <c r="E41" s="405">
        <v>49.999711981566819</v>
      </c>
      <c r="F41" s="405">
        <v>49.896361355081552</v>
      </c>
      <c r="G41" s="405">
        <v>49.630293445791601</v>
      </c>
      <c r="H41" s="405">
        <v>50.068214804063864</v>
      </c>
      <c r="I41" s="405">
        <v>50.029994001199761</v>
      </c>
      <c r="J41" s="405">
        <v>50.022640061396778</v>
      </c>
      <c r="K41" s="405">
        <v>49.998171846435099</v>
      </c>
      <c r="L41" s="405">
        <v>50.629446358079228</v>
      </c>
      <c r="M41" s="405">
        <v>50.235806842287104</v>
      </c>
      <c r="N41" s="405">
        <v>50.098005824403224</v>
      </c>
    </row>
    <row r="42" spans="1:14" ht="14.5">
      <c r="A42" s="472"/>
      <c r="B42" s="578" t="s">
        <v>110</v>
      </c>
      <c r="C42" s="405">
        <v>50</v>
      </c>
      <c r="D42" s="405">
        <v>49.911580005023865</v>
      </c>
      <c r="E42" s="405">
        <v>49.925811437403404</v>
      </c>
      <c r="F42" s="405">
        <v>49.942968243681143</v>
      </c>
      <c r="G42" s="405">
        <v>49.582770578572735</v>
      </c>
      <c r="H42" s="405">
        <v>49.838515546639918</v>
      </c>
      <c r="I42" s="405">
        <v>49.967528562838247</v>
      </c>
      <c r="J42" s="405">
        <v>50.789716039907901</v>
      </c>
      <c r="K42" s="405">
        <v>49.955017301038062</v>
      </c>
      <c r="L42" s="405">
        <v>50.167716674443298</v>
      </c>
      <c r="M42" s="405">
        <v>50.189939259348414</v>
      </c>
      <c r="N42" s="405">
        <v>50.00102470681999</v>
      </c>
    </row>
    <row r="43" spans="1:14" ht="14.5">
      <c r="A43" s="472"/>
      <c r="B43" s="578" t="s">
        <v>117</v>
      </c>
      <c r="C43" s="405">
        <v>50</v>
      </c>
      <c r="D43" s="405">
        <v>50.798636129696348</v>
      </c>
      <c r="E43" s="405">
        <v>50.04273014052194</v>
      </c>
      <c r="F43" s="405">
        <v>49.999066002490657</v>
      </c>
      <c r="G43" s="405">
        <v>49.514177693761816</v>
      </c>
      <c r="H43" s="405">
        <v>50.660100778744848</v>
      </c>
      <c r="I43" s="405">
        <v>49.896825396825399</v>
      </c>
      <c r="J43" s="405">
        <v>50.717958557175749</v>
      </c>
      <c r="K43" s="405">
        <v>49.984819734345351</v>
      </c>
      <c r="L43" s="405">
        <v>50.518752320831787</v>
      </c>
      <c r="M43" s="405">
        <v>50.006484813383594</v>
      </c>
      <c r="N43" s="405">
        <v>49.973345710118025</v>
      </c>
    </row>
    <row r="44" spans="1:14" ht="14.5">
      <c r="A44" s="472"/>
      <c r="B44" s="578" t="s">
        <v>112</v>
      </c>
      <c r="C44" s="405">
        <v>50</v>
      </c>
      <c r="D44" s="405">
        <v>50.835342465753428</v>
      </c>
      <c r="E44" s="405">
        <v>49.889470622454915</v>
      </c>
      <c r="F44" s="405">
        <v>50.315513915679247</v>
      </c>
      <c r="G44" s="405">
        <v>50.039746746394655</v>
      </c>
      <c r="H44" s="405">
        <v>49.382027871215762</v>
      </c>
      <c r="I44" s="405">
        <v>50.001228501228503</v>
      </c>
      <c r="J44" s="405">
        <v>50.359938603223334</v>
      </c>
      <c r="K44" s="405">
        <v>50.05190311418685</v>
      </c>
      <c r="L44" s="405">
        <v>49.990451214959421</v>
      </c>
      <c r="M44" s="405">
        <v>49.876659350554334</v>
      </c>
      <c r="N44" s="405">
        <v>50.08801382545365</v>
      </c>
    </row>
    <row r="45" spans="1:14" ht="14.5">
      <c r="A45" s="472"/>
      <c r="B45" s="578" t="s">
        <v>113</v>
      </c>
      <c r="C45" s="405">
        <v>50</v>
      </c>
      <c r="D45" s="405">
        <v>50.054010629094059</v>
      </c>
      <c r="E45" s="405">
        <v>50.060250817884409</v>
      </c>
      <c r="F45" s="405">
        <v>50.308823529411768</v>
      </c>
      <c r="G45" s="405">
        <v>49.986310937281743</v>
      </c>
      <c r="H45" s="405">
        <v>50.109595270577536</v>
      </c>
      <c r="I45" s="405">
        <v>50.145033516148693</v>
      </c>
      <c r="J45" s="405">
        <v>50.321181887950885</v>
      </c>
      <c r="K45" s="405">
        <v>49.994727592267132</v>
      </c>
      <c r="L45" s="405">
        <v>49.983418367346935</v>
      </c>
      <c r="M45" s="405">
        <v>50.107134922370435</v>
      </c>
      <c r="N45" s="405">
        <v>50.271176294777099</v>
      </c>
    </row>
    <row r="46" spans="1:14" ht="14.5">
      <c r="A46" s="472"/>
      <c r="B46" s="578" t="s">
        <v>114</v>
      </c>
      <c r="C46" s="405">
        <v>50</v>
      </c>
      <c r="D46" s="405">
        <v>49.437086092715234</v>
      </c>
      <c r="E46" s="405">
        <v>50.180987724807309</v>
      </c>
      <c r="F46" s="405">
        <v>50.262649619151254</v>
      </c>
      <c r="G46" s="405">
        <v>50.18868758285462</v>
      </c>
      <c r="H46" s="405">
        <v>50.214064573197703</v>
      </c>
      <c r="I46" s="405">
        <v>49.970118137595556</v>
      </c>
      <c r="J46" s="405">
        <v>49.983064516129033</v>
      </c>
      <c r="K46" s="405">
        <v>50.005660377358488</v>
      </c>
      <c r="L46" s="405">
        <v>49.885445193141571</v>
      </c>
      <c r="M46" s="405">
        <v>50.193453767797848</v>
      </c>
      <c r="N46" s="405">
        <v>49.940970021716502</v>
      </c>
    </row>
    <row r="47" spans="1:14" ht="14.5">
      <c r="A47" s="472"/>
      <c r="B47" s="578" t="s">
        <v>115</v>
      </c>
      <c r="C47" s="405">
        <v>50</v>
      </c>
      <c r="D47" s="405">
        <v>50.131558542258979</v>
      </c>
      <c r="E47" s="405">
        <v>50.022135051835249</v>
      </c>
      <c r="F47" s="405">
        <v>49.727595249113065</v>
      </c>
      <c r="G47" s="405">
        <v>49.780901953624245</v>
      </c>
      <c r="H47" s="405">
        <v>50.066470340765669</v>
      </c>
      <c r="I47" s="405">
        <v>49.902957486136785</v>
      </c>
      <c r="J47" s="405">
        <v>50.447045280122794</v>
      </c>
      <c r="K47" s="405">
        <v>49.975791433891992</v>
      </c>
      <c r="L47" s="405">
        <v>49.897976099747147</v>
      </c>
      <c r="M47" s="405">
        <v>49.9</v>
      </c>
      <c r="N47" s="405">
        <v>50.079914899095733</v>
      </c>
    </row>
    <row r="48" spans="1:14" ht="14.5">
      <c r="A48" s="473"/>
      <c r="B48" s="576" t="s">
        <v>116</v>
      </c>
      <c r="C48" s="407">
        <v>50</v>
      </c>
      <c r="D48" s="407">
        <v>49.987971934513865</v>
      </c>
      <c r="E48" s="407">
        <v>49.960045019696118</v>
      </c>
      <c r="F48" s="407">
        <v>49.627201145311382</v>
      </c>
      <c r="G48" s="407">
        <v>50.029451395572664</v>
      </c>
      <c r="H48" s="407">
        <v>50.803563474387531</v>
      </c>
      <c r="I48" s="407">
        <v>49.890123456790121</v>
      </c>
      <c r="J48" s="407">
        <v>50.265298218435319</v>
      </c>
      <c r="K48" s="407">
        <v>49.898686679174482</v>
      </c>
      <c r="L48" s="407">
        <v>50.376413076688053</v>
      </c>
      <c r="M48" s="407">
        <v>49.614588743128856</v>
      </c>
      <c r="N48" s="407">
        <v>49.78677375594971</v>
      </c>
    </row>
    <row r="49" spans="1:14" ht="14.5">
      <c r="A49" s="471">
        <v>2024</v>
      </c>
      <c r="B49" s="577" t="s">
        <v>105</v>
      </c>
      <c r="C49" s="403">
        <v>50</v>
      </c>
      <c r="D49" s="403">
        <v>50.171993533142647</v>
      </c>
      <c r="E49" s="403">
        <v>50.105437068188643</v>
      </c>
      <c r="F49" s="403">
        <v>50.070479804825155</v>
      </c>
      <c r="G49" s="403">
        <v>50.454272649328381</v>
      </c>
      <c r="H49" s="403">
        <v>49.380275624461667</v>
      </c>
      <c r="I49" s="403">
        <v>50.379330943847073</v>
      </c>
      <c r="J49" s="403">
        <v>50.110130468150423</v>
      </c>
      <c r="K49" s="403">
        <v>49.936507936507937</v>
      </c>
      <c r="L49" s="403">
        <v>50.777285525302332</v>
      </c>
      <c r="M49" s="403">
        <v>50.498334890757796</v>
      </c>
      <c r="N49" s="403">
        <v>50.048948363846534</v>
      </c>
    </row>
    <row r="50" spans="1:14" ht="14.5">
      <c r="A50" s="472"/>
      <c r="B50" s="578" t="s">
        <v>106</v>
      </c>
      <c r="C50" s="405">
        <v>50</v>
      </c>
      <c r="D50" s="405">
        <v>50.279757901815735</v>
      </c>
      <c r="E50" s="405">
        <v>49.880895826263995</v>
      </c>
      <c r="F50" s="405">
        <v>50.042286007175804</v>
      </c>
      <c r="G50" s="405">
        <v>49.452274293590627</v>
      </c>
      <c r="H50" s="405">
        <v>50.679012345679013</v>
      </c>
      <c r="I50" s="405">
        <v>50.096793349168649</v>
      </c>
      <c r="J50" s="405">
        <v>50.017430845017053</v>
      </c>
      <c r="K50" s="405">
        <v>49.896440129449836</v>
      </c>
      <c r="L50" s="405">
        <v>49.601543209876546</v>
      </c>
      <c r="M50" s="405">
        <v>49.450538998097656</v>
      </c>
      <c r="N50" s="405">
        <v>50.062794272102309</v>
      </c>
    </row>
    <row r="51" spans="1:14" ht="14.5">
      <c r="A51" s="472"/>
      <c r="B51" s="578" t="s">
        <v>107</v>
      </c>
      <c r="C51" s="405">
        <v>50</v>
      </c>
      <c r="D51" s="405">
        <v>49.978860392746</v>
      </c>
      <c r="E51" s="405">
        <v>50.167748215444519</v>
      </c>
      <c r="F51" s="405">
        <v>50.363931446377563</v>
      </c>
      <c r="G51" s="405">
        <v>50.385407472786113</v>
      </c>
      <c r="H51" s="405">
        <v>50.696912114014253</v>
      </c>
      <c r="I51" s="405">
        <v>50.215675057208237</v>
      </c>
      <c r="J51" s="405">
        <v>50.10458507010231</v>
      </c>
      <c r="K51" s="405">
        <v>49.91935483870968</v>
      </c>
      <c r="L51" s="405">
        <v>49.250868055555557</v>
      </c>
      <c r="M51" s="405">
        <v>49.595352016404647</v>
      </c>
      <c r="N51" s="405">
        <v>50.090395444598272</v>
      </c>
    </row>
    <row r="52" spans="1:14" ht="14.5">
      <c r="A52" s="472"/>
      <c r="B52" s="578" t="s">
        <v>108</v>
      </c>
      <c r="C52" s="405">
        <v>50</v>
      </c>
      <c r="D52" s="405">
        <v>49.736124326038691</v>
      </c>
      <c r="E52" s="405">
        <v>49.747454175152747</v>
      </c>
      <c r="F52" s="405">
        <v>50.140192926045017</v>
      </c>
      <c r="G52" s="405">
        <v>49.958918005071851</v>
      </c>
      <c r="H52" s="405">
        <v>50.00262467191601</v>
      </c>
      <c r="I52" s="405">
        <v>50.259685230024211</v>
      </c>
      <c r="J52" s="405">
        <v>50.220500595947556</v>
      </c>
      <c r="K52" s="405">
        <v>50.121794871794869</v>
      </c>
      <c r="L52" s="405">
        <v>50.491407799074686</v>
      </c>
      <c r="M52" s="405">
        <v>50.086659843056978</v>
      </c>
      <c r="N52" s="405">
        <v>50.22977201609298</v>
      </c>
    </row>
    <row r="53" spans="1:14" ht="14.5">
      <c r="A53" s="472"/>
      <c r="B53" s="578" t="s">
        <v>109</v>
      </c>
      <c r="C53" s="405">
        <v>50</v>
      </c>
      <c r="D53" s="405">
        <v>49.806627516778526</v>
      </c>
      <c r="E53" s="405">
        <v>50.040909090909089</v>
      </c>
      <c r="F53" s="405">
        <v>49.992830589484868</v>
      </c>
      <c r="G53" s="405">
        <v>49.693521594684384</v>
      </c>
      <c r="H53" s="405">
        <v>49.352580927384075</v>
      </c>
      <c r="I53" s="405">
        <v>49.973913043478262</v>
      </c>
      <c r="J53" s="405">
        <v>50.017430845017053</v>
      </c>
      <c r="K53" s="405">
        <v>49.930817610062896</v>
      </c>
      <c r="L53" s="405">
        <v>49.964255075779242</v>
      </c>
      <c r="M53" s="405">
        <v>50.482919254658384</v>
      </c>
      <c r="N53" s="405">
        <v>50.103444575598239</v>
      </c>
    </row>
    <row r="54" spans="1:14" ht="14.5">
      <c r="A54" s="472"/>
      <c r="B54" s="578" t="s">
        <v>110</v>
      </c>
      <c r="C54" s="405">
        <v>50</v>
      </c>
      <c r="D54" s="405">
        <v>49.945393258426968</v>
      </c>
      <c r="E54" s="405">
        <v>49.918544752092721</v>
      </c>
      <c r="F54" s="405">
        <v>49.965393630221975</v>
      </c>
      <c r="G54" s="405">
        <v>49.731266149870798</v>
      </c>
      <c r="H54" s="405">
        <v>50.016622922134736</v>
      </c>
      <c r="I54" s="405">
        <v>50.134920634920633</v>
      </c>
      <c r="J54" s="405">
        <v>50.026904130352406</v>
      </c>
      <c r="K54" s="405">
        <v>49.971698113207545</v>
      </c>
      <c r="L54" s="405">
        <v>49.824069218668065</v>
      </c>
      <c r="M54" s="405">
        <v>50.121212121212125</v>
      </c>
      <c r="N54" s="405">
        <v>50.120390459064673</v>
      </c>
    </row>
    <row r="55" spans="1:14" ht="14.5">
      <c r="A55" s="472"/>
      <c r="B55" s="578" t="s">
        <v>117</v>
      </c>
      <c r="C55" s="405">
        <v>50</v>
      </c>
      <c r="D55" s="405">
        <v>50.020658557046978</v>
      </c>
      <c r="E55" s="405">
        <v>50.031724137931036</v>
      </c>
      <c r="F55" s="405">
        <v>49.992339121552604</v>
      </c>
      <c r="G55" s="405">
        <v>49.922089041095887</v>
      </c>
      <c r="H55" s="405">
        <v>49.951881014873138</v>
      </c>
      <c r="I55" s="405">
        <v>49.838383838383841</v>
      </c>
      <c r="J55" s="405">
        <v>50.081960626757734</v>
      </c>
      <c r="K55" s="405">
        <v>49.962025316455694</v>
      </c>
      <c r="L55" s="405">
        <v>50.328088847755666</v>
      </c>
      <c r="M55" s="405">
        <v>49.606451612903228</v>
      </c>
      <c r="N55" s="405">
        <v>50.206188286553235</v>
      </c>
    </row>
    <row r="56" spans="1:14" ht="14.5">
      <c r="A56" s="472"/>
      <c r="B56" s="578" t="s">
        <v>112</v>
      </c>
      <c r="C56" s="405">
        <v>50</v>
      </c>
      <c r="D56" s="405">
        <v>50.262898917475049</v>
      </c>
      <c r="E56" s="405">
        <v>49.766487851057114</v>
      </c>
      <c r="F56" s="405">
        <v>50.329288172432527</v>
      </c>
      <c r="G56" s="405">
        <v>49.946376811594206</v>
      </c>
      <c r="H56" s="405">
        <v>50.701323251417769</v>
      </c>
      <c r="I56" s="405">
        <v>49.793143521208599</v>
      </c>
      <c r="J56" s="405">
        <v>49.878243512974052</v>
      </c>
      <c r="K56" s="405">
        <v>50</v>
      </c>
      <c r="L56" s="405">
        <v>49.582002534854247</v>
      </c>
      <c r="M56" s="405">
        <v>50.521025641025638</v>
      </c>
      <c r="N56" s="405">
        <v>50.036494210757731</v>
      </c>
    </row>
    <row r="57" spans="1:14" ht="14.5">
      <c r="A57" s="472"/>
      <c r="B57" s="578" t="s">
        <v>113</v>
      </c>
      <c r="C57" s="405">
        <v>50</v>
      </c>
      <c r="D57" s="405">
        <v>50.230583543241003</v>
      </c>
      <c r="E57" s="405">
        <v>50.074085750315255</v>
      </c>
      <c r="F57" s="405">
        <v>50.013052056457731</v>
      </c>
      <c r="G57" s="405">
        <v>50.24262197834792</v>
      </c>
      <c r="H57" s="405">
        <v>49.854330708661415</v>
      </c>
      <c r="I57" s="405">
        <v>50.306203756402958</v>
      </c>
      <c r="J57" s="405">
        <v>50.422257934913617</v>
      </c>
      <c r="K57" s="405">
        <v>50.008356545961</v>
      </c>
      <c r="L57" s="405">
        <v>50.151068158697861</v>
      </c>
      <c r="M57" s="405">
        <v>49.970870777812209</v>
      </c>
      <c r="N57" s="405">
        <v>50.062713441973003</v>
      </c>
    </row>
    <row r="58" spans="1:14" ht="14.5">
      <c r="A58" s="472"/>
      <c r="B58" s="578" t="s">
        <v>114</v>
      </c>
      <c r="C58" s="405">
        <v>50</v>
      </c>
      <c r="D58" s="405">
        <v>50.379614093959731</v>
      </c>
      <c r="E58" s="405">
        <v>49.989266547406082</v>
      </c>
      <c r="F58" s="405">
        <v>49.769367399918004</v>
      </c>
      <c r="G58" s="405">
        <v>49.936400541271986</v>
      </c>
      <c r="H58" s="405">
        <v>50.692607003891048</v>
      </c>
      <c r="I58" s="405">
        <v>50.024764150943398</v>
      </c>
      <c r="J58" s="405">
        <v>50.314182402571312</v>
      </c>
      <c r="K58" s="405">
        <v>50</v>
      </c>
      <c r="L58" s="405">
        <v>50.284096628082537</v>
      </c>
      <c r="M58" s="405">
        <v>50.039154754505901</v>
      </c>
      <c r="N58" s="405">
        <v>50.02244600376082</v>
      </c>
    </row>
    <row r="59" spans="1:14" ht="14.5">
      <c r="A59" s="472"/>
      <c r="B59" s="578" t="s">
        <v>115</v>
      </c>
      <c r="C59" s="405">
        <v>50</v>
      </c>
      <c r="D59" s="405">
        <v>49.980494966442954</v>
      </c>
      <c r="E59" s="405">
        <v>49.890588626538076</v>
      </c>
      <c r="F59" s="405">
        <v>49.673971549404072</v>
      </c>
      <c r="G59" s="405">
        <v>49.955941446613089</v>
      </c>
      <c r="H59" s="405">
        <v>49.964566929133859</v>
      </c>
      <c r="I59" s="405">
        <v>49.972639011473966</v>
      </c>
      <c r="J59" s="405">
        <v>50.100409836065573</v>
      </c>
      <c r="K59" s="405">
        <v>49.943283582089549</v>
      </c>
      <c r="L59" s="405">
        <v>50.339356295878034</v>
      </c>
      <c r="M59" s="405">
        <v>49.92434904996481</v>
      </c>
      <c r="N59" s="405">
        <v>49.948095096878241</v>
      </c>
    </row>
    <row r="60" spans="1:14" ht="14.5">
      <c r="A60" s="473"/>
      <c r="B60" s="576" t="s">
        <v>116</v>
      </c>
      <c r="C60" s="407">
        <v>50</v>
      </c>
      <c r="D60" s="407">
        <v>50</v>
      </c>
      <c r="E60" s="407">
        <v>50.1</v>
      </c>
      <c r="F60" s="407">
        <v>49.8</v>
      </c>
      <c r="G60" s="407">
        <v>50</v>
      </c>
      <c r="H60" s="407">
        <v>50.7</v>
      </c>
      <c r="I60" s="407">
        <v>49.7</v>
      </c>
      <c r="J60" s="407">
        <v>49.9</v>
      </c>
      <c r="K60" s="407">
        <v>50</v>
      </c>
      <c r="L60" s="407">
        <v>50</v>
      </c>
      <c r="M60" s="407">
        <v>49.2</v>
      </c>
      <c r="N60" s="407">
        <v>49.9</v>
      </c>
    </row>
    <row r="61" spans="1:14" ht="14.5">
      <c r="A61" s="471">
        <v>2025</v>
      </c>
      <c r="B61" s="577" t="s">
        <v>105</v>
      </c>
      <c r="C61" s="403">
        <v>50</v>
      </c>
      <c r="D61" s="403">
        <v>50.433375904640272</v>
      </c>
      <c r="E61" s="403">
        <v>50.137735849056604</v>
      </c>
      <c r="F61" s="403">
        <v>49.911412046833121</v>
      </c>
      <c r="G61" s="403">
        <v>50.524248375887595</v>
      </c>
      <c r="H61" s="403">
        <v>49.318647085002226</v>
      </c>
      <c r="I61" s="403">
        <v>50.308791994281627</v>
      </c>
      <c r="J61" s="403">
        <v>50.080528334043457</v>
      </c>
      <c r="K61" s="403">
        <v>49.873015873015873</v>
      </c>
      <c r="L61" s="403">
        <v>50.210131817006982</v>
      </c>
      <c r="M61" s="403">
        <v>50.63293789253315</v>
      </c>
      <c r="N61" s="403">
        <v>50.167618800311608</v>
      </c>
    </row>
    <row r="62" spans="1:14" ht="14.5">
      <c r="A62" s="472"/>
      <c r="B62" s="578" t="s">
        <v>106</v>
      </c>
      <c r="C62" s="405">
        <v>50</v>
      </c>
      <c r="D62" s="405">
        <v>50.016331658291456</v>
      </c>
      <c r="E62" s="405">
        <v>49.97768817204301</v>
      </c>
      <c r="F62" s="405">
        <v>49.785537700865262</v>
      </c>
      <c r="G62" s="405">
        <v>50.101689408706953</v>
      </c>
      <c r="H62" s="405">
        <v>49.219892952720784</v>
      </c>
      <c r="I62" s="405">
        <v>49.86846275752773</v>
      </c>
      <c r="J62" s="405">
        <v>50.047505938242281</v>
      </c>
      <c r="K62" s="405">
        <v>49.99404761904762</v>
      </c>
      <c r="L62" s="405">
        <v>49.957686529794692</v>
      </c>
      <c r="M62" s="405">
        <v>49.50876577840112</v>
      </c>
      <c r="N62" s="405">
        <v>49.941184929536959</v>
      </c>
    </row>
    <row r="63" spans="1:14" ht="14.5">
      <c r="A63" s="472"/>
      <c r="B63" s="578" t="s">
        <v>107</v>
      </c>
      <c r="C63" s="405">
        <v>50</v>
      </c>
      <c r="D63" s="405">
        <v>49.854740956925568</v>
      </c>
      <c r="E63" s="405">
        <v>49.952769679300289</v>
      </c>
      <c r="F63" s="405">
        <v>50.157463291126049</v>
      </c>
      <c r="G63" s="405">
        <v>50.668725997662378</v>
      </c>
      <c r="H63" s="405">
        <v>49.432131731197153</v>
      </c>
      <c r="I63" s="405">
        <v>50.239575971731448</v>
      </c>
      <c r="J63" s="405">
        <v>50.108533114659203</v>
      </c>
      <c r="K63" s="405">
        <v>49.993919974707097</v>
      </c>
      <c r="L63" s="405">
        <v>49.329101872421454</v>
      </c>
      <c r="M63" s="405">
        <v>49.300853463327428</v>
      </c>
      <c r="N63" s="405">
        <v>49.840994532411287</v>
      </c>
    </row>
    <row r="64" spans="1:14" ht="14.5">
      <c r="A64" s="472"/>
      <c r="B64" s="578" t="s">
        <v>108</v>
      </c>
      <c r="C64" s="405">
        <v>50</v>
      </c>
      <c r="D64" s="405">
        <v>49.772869087732438</v>
      </c>
      <c r="E64" s="405">
        <v>50.116188353301759</v>
      </c>
      <c r="F64" s="405">
        <v>50.126874746655858</v>
      </c>
      <c r="G64" s="405">
        <v>49.590639810426538</v>
      </c>
      <c r="H64" s="405">
        <v>50.435680058975301</v>
      </c>
      <c r="I64" s="405">
        <v>49.890056022408963</v>
      </c>
      <c r="J64" s="405">
        <v>50.243424734191379</v>
      </c>
      <c r="K64" s="405">
        <v>49.95092024539877</v>
      </c>
      <c r="L64" s="405">
        <v>50.440225379715827</v>
      </c>
      <c r="M64" s="405">
        <v>50.571544385893802</v>
      </c>
      <c r="N64" s="405">
        <v>49.843868603585918</v>
      </c>
    </row>
    <row r="65" spans="1:14" ht="14.5">
      <c r="A65" s="472"/>
      <c r="B65" s="578" t="s">
        <v>109</v>
      </c>
      <c r="C65" s="405">
        <v>50</v>
      </c>
      <c r="D65" s="405">
        <v>49.587245696400629</v>
      </c>
      <c r="E65" s="405">
        <v>49.96380334954079</v>
      </c>
      <c r="F65" s="405">
        <v>50.197317236753854</v>
      </c>
      <c r="G65" s="405">
        <v>49.512455516014235</v>
      </c>
      <c r="H65" s="405">
        <v>49.595528455284551</v>
      </c>
      <c r="I65" s="405">
        <v>49.949321266968326</v>
      </c>
      <c r="J65" s="405">
        <v>50.127279493859319</v>
      </c>
      <c r="K65" s="405">
        <v>50.710191082802545</v>
      </c>
      <c r="L65" s="405">
        <v>50.253481894150418</v>
      </c>
      <c r="M65" s="405">
        <v>50.09663341645885</v>
      </c>
      <c r="N65" s="405">
        <v>49.809976247030882</v>
      </c>
    </row>
    <row r="66" spans="1:14" ht="14.5">
      <c r="A66" s="472"/>
      <c r="B66" s="578" t="s">
        <v>110</v>
      </c>
      <c r="C66" s="702">
        <v>50</v>
      </c>
      <c r="D66" s="703">
        <v>50.1</v>
      </c>
      <c r="E66" s="703">
        <v>49.9</v>
      </c>
      <c r="F66" s="703">
        <v>49.8</v>
      </c>
      <c r="G66" s="703">
        <v>49.6</v>
      </c>
      <c r="H66" s="703">
        <v>50.8</v>
      </c>
      <c r="I66" s="703">
        <v>49.9</v>
      </c>
      <c r="J66" s="703">
        <v>50.1</v>
      </c>
      <c r="K66" s="703">
        <v>50.4</v>
      </c>
      <c r="L66" s="703">
        <v>50.2</v>
      </c>
      <c r="M66" s="703">
        <v>49.4</v>
      </c>
      <c r="N66" s="703">
        <v>50.2</v>
      </c>
    </row>
    <row r="67" spans="1:14" ht="14.5">
      <c r="A67" s="472"/>
      <c r="B67" s="578" t="s">
        <v>117</v>
      </c>
      <c r="C67" s="702">
        <v>50</v>
      </c>
      <c r="D67" s="703">
        <v>50.403034482758599</v>
      </c>
      <c r="E67" s="703">
        <v>49.963200934579397</v>
      </c>
      <c r="F67" s="703">
        <v>49.900982943047097</v>
      </c>
      <c r="G67" s="703">
        <v>49.8367846804721</v>
      </c>
      <c r="H67" s="703">
        <v>50.458146487294499</v>
      </c>
      <c r="I67" s="703">
        <v>50.119313304720997</v>
      </c>
      <c r="J67" s="703">
        <v>50.101416853094698</v>
      </c>
      <c r="K67" s="703">
        <v>49.885093167701903</v>
      </c>
      <c r="L67" s="703">
        <v>50.257413997627502</v>
      </c>
      <c r="M67" s="703">
        <v>50.577971233913701</v>
      </c>
      <c r="N67" s="703">
        <v>50.122993197278902</v>
      </c>
    </row>
    <row r="68" spans="1:14" ht="14.5">
      <c r="A68" s="473"/>
      <c r="B68" s="576" t="s">
        <v>112</v>
      </c>
      <c r="C68" s="696">
        <v>50</v>
      </c>
      <c r="D68" s="705">
        <v>50.074043490228497</v>
      </c>
      <c r="E68" s="705">
        <v>49.868548617051601</v>
      </c>
      <c r="F68" s="705">
        <v>49.789122408406698</v>
      </c>
      <c r="G68" s="705">
        <v>49.951159951160001</v>
      </c>
      <c r="H68" s="705">
        <v>50.7168791039011</v>
      </c>
      <c r="I68" s="705">
        <v>50.069611780455197</v>
      </c>
      <c r="J68" s="705">
        <v>49.994382022471903</v>
      </c>
      <c r="K68" s="705">
        <v>49.946902654867301</v>
      </c>
      <c r="L68" s="705">
        <v>50.295741556534502</v>
      </c>
      <c r="M68" s="705">
        <v>49.397695669447799</v>
      </c>
      <c r="N68" s="705">
        <v>49.704759063106103</v>
      </c>
    </row>
    <row r="69" spans="1:14">
      <c r="A69" s="91"/>
      <c r="B69" s="91"/>
      <c r="C69" s="91"/>
      <c r="D69" s="91"/>
      <c r="E69" s="91"/>
      <c r="F69" s="91"/>
      <c r="G69" s="91"/>
      <c r="H69" s="91"/>
      <c r="I69" s="91"/>
    </row>
    <row r="70" spans="1:14" ht="14.5">
      <c r="A70" s="869" t="s">
        <v>349</v>
      </c>
      <c r="B70" s="869"/>
      <c r="C70" s="869"/>
      <c r="D70" s="869"/>
      <c r="E70" s="869"/>
      <c r="F70" s="869"/>
      <c r="G70" s="869"/>
      <c r="H70" s="869"/>
      <c r="I70" s="869"/>
      <c r="J70" s="869"/>
      <c r="K70" s="869"/>
      <c r="L70" s="869"/>
      <c r="M70" s="869"/>
      <c r="N70" s="869"/>
    </row>
    <row r="71" spans="1:14" ht="15.65" customHeight="1">
      <c r="A71" s="735" t="s">
        <v>98</v>
      </c>
      <c r="B71" s="739"/>
      <c r="C71" s="863" t="s">
        <v>324</v>
      </c>
      <c r="D71" s="864" t="s">
        <v>338</v>
      </c>
      <c r="E71" s="865"/>
      <c r="F71" s="865"/>
      <c r="G71" s="865"/>
      <c r="H71" s="865"/>
      <c r="I71" s="865"/>
      <c r="J71" s="865"/>
      <c r="K71" s="865"/>
      <c r="L71" s="865"/>
      <c r="M71" s="865"/>
      <c r="N71" s="866"/>
    </row>
    <row r="72" spans="1:14" ht="58" customHeight="1">
      <c r="A72" s="740"/>
      <c r="B72" s="741"/>
      <c r="C72" s="738"/>
      <c r="D72" s="556" t="s">
        <v>339</v>
      </c>
      <c r="E72" s="556" t="s">
        <v>215</v>
      </c>
      <c r="F72" s="556" t="s">
        <v>340</v>
      </c>
      <c r="G72" s="556" t="s">
        <v>341</v>
      </c>
      <c r="H72" s="556" t="s">
        <v>342</v>
      </c>
      <c r="I72" s="556" t="s">
        <v>343</v>
      </c>
      <c r="J72" s="557" t="s">
        <v>344</v>
      </c>
      <c r="K72" s="557" t="s">
        <v>345</v>
      </c>
      <c r="L72" s="557" t="s">
        <v>346</v>
      </c>
      <c r="M72" s="478" t="s">
        <v>347</v>
      </c>
      <c r="N72" s="478" t="s">
        <v>348</v>
      </c>
    </row>
    <row r="73" spans="1:14" ht="14.5">
      <c r="A73" s="471">
        <v>2020</v>
      </c>
      <c r="B73" s="558" t="s">
        <v>112</v>
      </c>
      <c r="C73" s="403">
        <v>50</v>
      </c>
      <c r="D73" s="403">
        <v>50.234208658623139</v>
      </c>
      <c r="E73" s="403">
        <v>50.022783908864362</v>
      </c>
      <c r="F73" s="403">
        <v>50.028098420413123</v>
      </c>
      <c r="G73" s="403">
        <v>50.233307024467244</v>
      </c>
      <c r="H73" s="403">
        <v>50.071937783538559</v>
      </c>
      <c r="I73" s="403">
        <v>50.289523809523807</v>
      </c>
      <c r="J73" s="403">
        <v>50.219185722253208</v>
      </c>
      <c r="K73" s="403">
        <v>50.748807631160574</v>
      </c>
      <c r="L73" s="402">
        <v>50.093415504378854</v>
      </c>
      <c r="M73" s="403">
        <v>50</v>
      </c>
      <c r="N73" s="403">
        <v>50.20900321543408</v>
      </c>
    </row>
    <row r="74" spans="1:14">
      <c r="A74" s="449"/>
      <c r="B74" s="559" t="s">
        <v>113</v>
      </c>
      <c r="C74" s="405">
        <v>50</v>
      </c>
      <c r="D74" s="405">
        <v>49.816490486257926</v>
      </c>
      <c r="E74" s="405">
        <v>50.099083215796895</v>
      </c>
      <c r="F74" s="405">
        <v>50.108185318593961</v>
      </c>
      <c r="G74" s="405">
        <v>50.050839404497943</v>
      </c>
      <c r="H74" s="405">
        <v>50.130504660880746</v>
      </c>
      <c r="I74" s="405">
        <v>50.128433556050481</v>
      </c>
      <c r="J74" s="405">
        <v>49.973612727978271</v>
      </c>
      <c r="K74" s="405">
        <v>50.154574132492115</v>
      </c>
      <c r="L74" s="404">
        <v>50.353900396650509</v>
      </c>
      <c r="M74" s="405">
        <v>49.989804587935431</v>
      </c>
      <c r="N74" s="405">
        <v>50.510826542491266</v>
      </c>
    </row>
    <row r="75" spans="1:14">
      <c r="A75" s="449"/>
      <c r="B75" s="559" t="s">
        <v>114</v>
      </c>
      <c r="C75" s="405">
        <v>50</v>
      </c>
      <c r="D75" s="405">
        <v>50.54689265536723</v>
      </c>
      <c r="E75" s="405">
        <v>50.167799752781214</v>
      </c>
      <c r="F75" s="405">
        <v>50.132517436504806</v>
      </c>
      <c r="G75" s="405">
        <v>50.121045392022005</v>
      </c>
      <c r="H75" s="405">
        <v>50.001612758713378</v>
      </c>
      <c r="I75" s="405">
        <v>50.221631205673759</v>
      </c>
      <c r="J75" s="405">
        <v>50.233216918897945</v>
      </c>
      <c r="K75" s="405">
        <v>50.018927444794954</v>
      </c>
      <c r="L75" s="404">
        <v>50.366315789473681</v>
      </c>
      <c r="M75" s="405">
        <v>49.810289389067528</v>
      </c>
      <c r="N75" s="405">
        <v>50.257099336307256</v>
      </c>
    </row>
    <row r="76" spans="1:14">
      <c r="A76" s="449"/>
      <c r="B76" s="559" t="s">
        <v>115</v>
      </c>
      <c r="C76" s="405">
        <v>50</v>
      </c>
      <c r="D76" s="405">
        <v>50.356494746895891</v>
      </c>
      <c r="E76" s="405">
        <v>50.160469343910094</v>
      </c>
      <c r="F76" s="405">
        <v>50.116743995633186</v>
      </c>
      <c r="G76" s="405">
        <v>50.189125849543004</v>
      </c>
      <c r="H76" s="405">
        <v>50.137410976120655</v>
      </c>
      <c r="I76" s="405">
        <v>50.336983993260318</v>
      </c>
      <c r="J76" s="405">
        <v>50.311602638727202</v>
      </c>
      <c r="K76" s="405">
        <v>50.299806576402318</v>
      </c>
      <c r="L76" s="404">
        <v>50.741566441771781</v>
      </c>
      <c r="M76" s="405">
        <v>49.908355795148246</v>
      </c>
      <c r="N76" s="405">
        <v>50.198472399027892</v>
      </c>
    </row>
    <row r="77" spans="1:14">
      <c r="A77" s="449"/>
      <c r="B77" s="560" t="s">
        <v>116</v>
      </c>
      <c r="C77" s="407">
        <v>50</v>
      </c>
      <c r="D77" s="407">
        <v>50.747491875088315</v>
      </c>
      <c r="E77" s="407">
        <v>50.03846153846154</v>
      </c>
      <c r="F77" s="407">
        <v>49.941649341649345</v>
      </c>
      <c r="G77" s="407">
        <v>50.124162096282753</v>
      </c>
      <c r="H77" s="407">
        <v>50.004883153121732</v>
      </c>
      <c r="I77" s="407">
        <v>50.425787106446776</v>
      </c>
      <c r="J77" s="407">
        <v>50.359720605355065</v>
      </c>
      <c r="K77" s="407">
        <v>50.014563106796118</v>
      </c>
      <c r="L77" s="406">
        <v>49.751126126126124</v>
      </c>
      <c r="M77" s="407">
        <v>50.41305998481397</v>
      </c>
      <c r="N77" s="407">
        <v>50.09634209170531</v>
      </c>
    </row>
    <row r="78" spans="1:14" ht="14.5">
      <c r="A78" s="471">
        <v>2021</v>
      </c>
      <c r="B78" s="559" t="s">
        <v>105</v>
      </c>
      <c r="C78" s="403">
        <v>50</v>
      </c>
      <c r="D78" s="405">
        <v>50.655357401768882</v>
      </c>
      <c r="E78" s="405">
        <v>50.080139372822302</v>
      </c>
      <c r="F78" s="405">
        <v>49.988140556368961</v>
      </c>
      <c r="G78" s="405">
        <v>49.898364664526973</v>
      </c>
      <c r="H78" s="405">
        <v>50.009200793793973</v>
      </c>
      <c r="I78" s="405">
        <v>50.402307137707282</v>
      </c>
      <c r="J78" s="405">
        <v>50.334149326805388</v>
      </c>
      <c r="K78" s="405">
        <v>50.043338683788122</v>
      </c>
      <c r="L78" s="404">
        <v>49.987053020961774</v>
      </c>
      <c r="M78" s="403">
        <v>49.611756168359939</v>
      </c>
      <c r="N78" s="403">
        <v>50.239989066557335</v>
      </c>
    </row>
    <row r="79" spans="1:14">
      <c r="A79" s="449"/>
      <c r="B79" s="559" t="s">
        <v>106</v>
      </c>
      <c r="C79" s="405">
        <v>50</v>
      </c>
      <c r="D79" s="405">
        <v>50.941308747470202</v>
      </c>
      <c r="E79" s="405">
        <v>49.97698300283286</v>
      </c>
      <c r="F79" s="405">
        <v>50.344038715354159</v>
      </c>
      <c r="G79" s="405">
        <v>50.29755295085338</v>
      </c>
      <c r="H79" s="405">
        <v>49.979585223590405</v>
      </c>
      <c r="I79" s="405">
        <v>50.39173228346457</v>
      </c>
      <c r="J79" s="405">
        <v>50.201550387596896</v>
      </c>
      <c r="K79" s="405">
        <v>50.097804391217565</v>
      </c>
      <c r="L79" s="404">
        <v>50.40070671378092</v>
      </c>
      <c r="M79" s="405">
        <v>50.100574712643677</v>
      </c>
      <c r="N79" s="405">
        <v>50.11904761904762</v>
      </c>
    </row>
    <row r="80" spans="1:14">
      <c r="A80" s="449"/>
      <c r="B80" s="559" t="s">
        <v>107</v>
      </c>
      <c r="C80" s="405">
        <v>50</v>
      </c>
      <c r="D80" s="405">
        <v>50.689187128259874</v>
      </c>
      <c r="E80" s="405">
        <v>50.113805366957649</v>
      </c>
      <c r="F80" s="405">
        <v>50.112189551812733</v>
      </c>
      <c r="G80" s="405">
        <v>50.25137484477559</v>
      </c>
      <c r="H80" s="405">
        <v>50.071658903618776</v>
      </c>
      <c r="I80" s="405">
        <v>50.487012987012989</v>
      </c>
      <c r="J80" s="405">
        <v>50.736903376018624</v>
      </c>
      <c r="K80" s="405">
        <v>49.926163723916531</v>
      </c>
      <c r="L80" s="404">
        <v>49.79607977991747</v>
      </c>
      <c r="M80" s="405">
        <v>50.110714285714288</v>
      </c>
      <c r="N80" s="405">
        <v>50.449438202247194</v>
      </c>
    </row>
    <row r="81" spans="1:14">
      <c r="A81" s="449"/>
      <c r="B81" s="559" t="s">
        <v>108</v>
      </c>
      <c r="C81" s="405">
        <v>50</v>
      </c>
      <c r="D81" s="405">
        <v>50.499780861943023</v>
      </c>
      <c r="E81" s="405">
        <v>50.115912208504803</v>
      </c>
      <c r="F81" s="405">
        <v>50.247155586017819</v>
      </c>
      <c r="G81" s="405">
        <v>50.430341653389981</v>
      </c>
      <c r="H81" s="405">
        <v>50.052924791086348</v>
      </c>
      <c r="I81" s="405">
        <v>50.50482879719052</v>
      </c>
      <c r="J81" s="405">
        <v>50.058975685463011</v>
      </c>
      <c r="K81" s="405">
        <v>49.597359735973598</v>
      </c>
      <c r="L81" s="404">
        <v>50.361583668419428</v>
      </c>
      <c r="M81" s="405">
        <v>49.838342810722992</v>
      </c>
      <c r="N81" s="405">
        <v>50.021188201080186</v>
      </c>
    </row>
    <row r="82" spans="1:14">
      <c r="A82" s="449"/>
      <c r="B82" s="559" t="s">
        <v>109</v>
      </c>
      <c r="C82" s="405">
        <v>50</v>
      </c>
      <c r="D82" s="405">
        <v>50.750268610897926</v>
      </c>
      <c r="E82" s="405">
        <v>50.201029159519727</v>
      </c>
      <c r="F82" s="405">
        <v>50.036784025223334</v>
      </c>
      <c r="G82" s="405">
        <v>49.654464104128536</v>
      </c>
      <c r="H82" s="405">
        <v>50.020217729393465</v>
      </c>
      <c r="I82" s="405">
        <v>50.317545748116252</v>
      </c>
      <c r="J82" s="405">
        <v>50.644634842921256</v>
      </c>
      <c r="K82" s="405">
        <v>50.009615384615387</v>
      </c>
      <c r="L82" s="404">
        <v>49.813805970149254</v>
      </c>
      <c r="M82" s="405">
        <v>50.013245033112582</v>
      </c>
      <c r="N82" s="405">
        <v>50.279811097992919</v>
      </c>
    </row>
    <row r="83" spans="1:14">
      <c r="A83" s="449"/>
      <c r="B83" s="559" t="s">
        <v>110</v>
      </c>
      <c r="C83" s="405">
        <v>50</v>
      </c>
      <c r="D83" s="405">
        <v>49.916556096122662</v>
      </c>
      <c r="E83" s="405">
        <v>50.133094812164579</v>
      </c>
      <c r="F83" s="405">
        <v>50.106482135291628</v>
      </c>
      <c r="G83" s="405">
        <v>49.81556756756757</v>
      </c>
      <c r="H83" s="405">
        <v>50.666193685704151</v>
      </c>
      <c r="I83" s="405">
        <v>50.658883248730966</v>
      </c>
      <c r="J83" s="405">
        <v>50.283149734802123</v>
      </c>
      <c r="K83" s="405">
        <v>50.068515497553015</v>
      </c>
      <c r="L83" s="404">
        <v>50.228595529312528</v>
      </c>
      <c r="M83" s="405">
        <v>50.07692307692308</v>
      </c>
      <c r="N83" s="405">
        <v>50.337533469837773</v>
      </c>
    </row>
    <row r="84" spans="1:14">
      <c r="A84" s="449"/>
      <c r="B84" s="559" t="s">
        <v>117</v>
      </c>
      <c r="C84" s="405">
        <v>50</v>
      </c>
      <c r="D84" s="405">
        <v>49.880150399498667</v>
      </c>
      <c r="E84" s="405">
        <v>50.168313069908812</v>
      </c>
      <c r="F84" s="405">
        <v>50.017704088801459</v>
      </c>
      <c r="G84" s="405">
        <v>49.969364039721107</v>
      </c>
      <c r="H84" s="405">
        <v>50.06932409012132</v>
      </c>
      <c r="I84" s="405">
        <v>50.522703273495246</v>
      </c>
      <c r="J84" s="405">
        <v>50.10485516115871</v>
      </c>
      <c r="K84" s="405">
        <v>50.145135566188195</v>
      </c>
      <c r="L84" s="404">
        <v>50.072968490878935</v>
      </c>
      <c r="M84" s="405">
        <v>50.445752733389405</v>
      </c>
      <c r="N84" s="405">
        <v>50.167526796347758</v>
      </c>
    </row>
    <row r="85" spans="1:14">
      <c r="A85" s="449"/>
      <c r="B85" s="559" t="s">
        <v>112</v>
      </c>
      <c r="C85" s="405">
        <v>50</v>
      </c>
      <c r="D85" s="405">
        <v>49.684190181677621</v>
      </c>
      <c r="E85" s="405">
        <v>49.996260905691734</v>
      </c>
      <c r="F85" s="405">
        <v>49.711928497765555</v>
      </c>
      <c r="G85" s="405">
        <v>49.603784295175025</v>
      </c>
      <c r="H85" s="405">
        <v>50.32692307692308</v>
      </c>
      <c r="I85" s="405">
        <v>50.518479408658926</v>
      </c>
      <c r="J85" s="405">
        <v>49.272267845862288</v>
      </c>
      <c r="K85" s="405">
        <v>49.899505766062603</v>
      </c>
      <c r="L85" s="404">
        <v>49.315488215488216</v>
      </c>
      <c r="M85" s="405">
        <v>50.099078341013822</v>
      </c>
      <c r="N85" s="405">
        <v>49.803960678159285</v>
      </c>
    </row>
    <row r="86" spans="1:14">
      <c r="A86" s="449"/>
      <c r="B86" s="559" t="s">
        <v>113</v>
      </c>
      <c r="C86" s="405">
        <v>50</v>
      </c>
      <c r="D86" s="405">
        <v>50.234300563014294</v>
      </c>
      <c r="E86" s="405">
        <v>49.794608017027315</v>
      </c>
      <c r="F86" s="405">
        <v>49.714686787155642</v>
      </c>
      <c r="G86" s="405">
        <v>49.63002149115556</v>
      </c>
      <c r="H86" s="405">
        <v>50.23205128205128</v>
      </c>
      <c r="I86" s="405">
        <v>50.080459770114942</v>
      </c>
      <c r="J86" s="405">
        <v>50.439147504206396</v>
      </c>
      <c r="K86" s="405">
        <v>49.7900826446281</v>
      </c>
      <c r="L86" s="404">
        <v>49.687394247038917</v>
      </c>
      <c r="M86" s="405">
        <v>49.5030303030303</v>
      </c>
      <c r="N86" s="405">
        <v>49.62231159293583</v>
      </c>
    </row>
    <row r="87" spans="1:14">
      <c r="A87" s="449"/>
      <c r="B87" s="559" t="s">
        <v>114</v>
      </c>
      <c r="C87" s="405">
        <v>50</v>
      </c>
      <c r="D87" s="405">
        <v>49.309121153313001</v>
      </c>
      <c r="E87" s="405">
        <v>49.865512649800266</v>
      </c>
      <c r="F87" s="405">
        <v>49.995560253699786</v>
      </c>
      <c r="G87" s="405">
        <v>49.806527590847914</v>
      </c>
      <c r="H87" s="405">
        <v>50.086071987480437</v>
      </c>
      <c r="I87" s="405">
        <v>49.838453914767094</v>
      </c>
      <c r="J87" s="405">
        <v>49.912025316455697</v>
      </c>
      <c r="K87" s="405">
        <v>49.93783303730018</v>
      </c>
      <c r="L87" s="404">
        <v>49.529573590096284</v>
      </c>
      <c r="M87" s="405">
        <v>49.913793103448278</v>
      </c>
      <c r="N87" s="405">
        <v>50.024948355315431</v>
      </c>
    </row>
    <row r="88" spans="1:14">
      <c r="A88" s="449"/>
      <c r="B88" s="559" t="s">
        <v>115</v>
      </c>
      <c r="C88" s="405">
        <v>50</v>
      </c>
      <c r="D88" s="405">
        <v>50.007865757734663</v>
      </c>
      <c r="E88" s="405">
        <v>50.093442065919128</v>
      </c>
      <c r="F88" s="405">
        <v>50.02283653846154</v>
      </c>
      <c r="G88" s="405">
        <v>50.091248579314822</v>
      </c>
      <c r="H88" s="405">
        <v>50.086071987480437</v>
      </c>
      <c r="I88" s="405">
        <v>50.381258023106547</v>
      </c>
      <c r="J88" s="405">
        <v>49.974683544303801</v>
      </c>
      <c r="K88" s="405">
        <v>50.478927203065133</v>
      </c>
      <c r="L88" s="404">
        <v>50.456618464961068</v>
      </c>
      <c r="M88" s="405">
        <v>49.338652482269502</v>
      </c>
      <c r="N88" s="405">
        <v>50.388138138138139</v>
      </c>
    </row>
    <row r="89" spans="1:14">
      <c r="A89" s="451"/>
      <c r="B89" s="560" t="s">
        <v>116</v>
      </c>
      <c r="C89" s="407">
        <v>50</v>
      </c>
      <c r="D89" s="407">
        <v>50.469851213782299</v>
      </c>
      <c r="E89" s="407">
        <v>50.277596342259962</v>
      </c>
      <c r="F89" s="407">
        <v>49.832681677227988</v>
      </c>
      <c r="G89" s="407">
        <v>50.437700706486837</v>
      </c>
      <c r="H89" s="407">
        <v>50.832713754646839</v>
      </c>
      <c r="I89" s="407">
        <v>50.384282178217823</v>
      </c>
      <c r="J89" s="407">
        <v>49.969053117782913</v>
      </c>
      <c r="K89" s="407">
        <v>50.147766323024058</v>
      </c>
      <c r="L89" s="407">
        <v>50.032771535580522</v>
      </c>
      <c r="M89" s="407">
        <v>50.457964601769909</v>
      </c>
      <c r="N89" s="407">
        <v>49.914715719063544</v>
      </c>
    </row>
    <row r="90" spans="1:14" ht="14.5">
      <c r="A90" s="471">
        <v>2022</v>
      </c>
      <c r="B90" s="577" t="s">
        <v>105</v>
      </c>
      <c r="C90" s="403">
        <v>50</v>
      </c>
      <c r="D90" s="403">
        <v>50.515053376514331</v>
      </c>
      <c r="E90" s="403">
        <v>49.998512347515621</v>
      </c>
      <c r="F90" s="403">
        <v>50.158756988688076</v>
      </c>
      <c r="G90" s="403">
        <v>50.013031161473087</v>
      </c>
      <c r="H90" s="403">
        <v>50.093939393939394</v>
      </c>
      <c r="I90" s="403">
        <v>49.864420706655707</v>
      </c>
      <c r="J90" s="403">
        <v>50.464412811387902</v>
      </c>
      <c r="K90" s="403">
        <v>50.06666666666667</v>
      </c>
      <c r="L90" s="403">
        <v>50.308910891089106</v>
      </c>
      <c r="M90" s="403">
        <v>50.009675190048377</v>
      </c>
      <c r="N90" s="403">
        <v>50.3831980414895</v>
      </c>
    </row>
    <row r="91" spans="1:14" ht="14.5">
      <c r="A91" s="472"/>
      <c r="B91" s="578" t="s">
        <v>106</v>
      </c>
      <c r="C91" s="405">
        <v>50</v>
      </c>
      <c r="D91" s="405">
        <v>50.352762966553563</v>
      </c>
      <c r="E91" s="405">
        <v>50.310344827586206</v>
      </c>
      <c r="F91" s="405">
        <v>50.048652790192826</v>
      </c>
      <c r="G91" s="405">
        <v>50.248172757475082</v>
      </c>
      <c r="H91" s="405">
        <v>50.023913909924275</v>
      </c>
      <c r="I91" s="405">
        <v>50.520116618075804</v>
      </c>
      <c r="J91" s="405">
        <v>50.257117437722421</v>
      </c>
      <c r="K91" s="405">
        <v>50.033980582524272</v>
      </c>
      <c r="L91" s="405">
        <v>50.13860342555995</v>
      </c>
      <c r="M91" s="405">
        <v>49.86977886977887</v>
      </c>
      <c r="N91" s="405">
        <v>50.120148584603562</v>
      </c>
    </row>
    <row r="92" spans="1:14" ht="14.5">
      <c r="A92" s="472"/>
      <c r="B92" s="578" t="s">
        <v>107</v>
      </c>
      <c r="C92" s="405">
        <v>50</v>
      </c>
      <c r="D92" s="405">
        <v>50.803256212510711</v>
      </c>
      <c r="E92" s="405">
        <v>50.336122331217545</v>
      </c>
      <c r="F92" s="405">
        <v>49.738193428229344</v>
      </c>
      <c r="G92" s="405">
        <v>50.436878970516368</v>
      </c>
      <c r="H92" s="405">
        <v>50.709000000000003</v>
      </c>
      <c r="I92" s="405">
        <v>50.102102102102101</v>
      </c>
      <c r="J92" s="405">
        <v>50.75</v>
      </c>
      <c r="K92" s="405">
        <v>49.972881355932202</v>
      </c>
      <c r="L92" s="405">
        <v>50.335039051979528</v>
      </c>
      <c r="M92" s="405">
        <v>49.967525195968648</v>
      </c>
      <c r="N92" s="405">
        <v>49.856090696699454</v>
      </c>
    </row>
    <row r="93" spans="1:14" ht="14.5">
      <c r="A93" s="472"/>
      <c r="B93" s="578" t="s">
        <v>108</v>
      </c>
      <c r="C93" s="405">
        <v>50</v>
      </c>
      <c r="D93" s="405">
        <v>50.434349798387096</v>
      </c>
      <c r="E93" s="405">
        <v>50.241480395749356</v>
      </c>
      <c r="F93" s="405">
        <v>50.109248100602571</v>
      </c>
      <c r="G93" s="405">
        <v>50.334822675230384</v>
      </c>
      <c r="H93" s="405">
        <v>50.701722242579699</v>
      </c>
      <c r="I93" s="405">
        <v>50.271865889212826</v>
      </c>
      <c r="J93" s="405">
        <v>50.780249110320284</v>
      </c>
      <c r="K93" s="405">
        <v>50.041237113402062</v>
      </c>
      <c r="L93" s="405">
        <v>50.573068569655604</v>
      </c>
      <c r="M93" s="405">
        <v>49.948113207547166</v>
      </c>
      <c r="N93" s="405">
        <v>50.210750916077295</v>
      </c>
    </row>
    <row r="94" spans="1:14" ht="14.5">
      <c r="A94" s="472"/>
      <c r="B94" s="578" t="s">
        <v>109</v>
      </c>
      <c r="C94" s="405">
        <v>50</v>
      </c>
      <c r="D94" s="405">
        <v>50.498574439072769</v>
      </c>
      <c r="E94" s="405">
        <v>50.055658627087197</v>
      </c>
      <c r="F94" s="405">
        <v>50.13449548288586</v>
      </c>
      <c r="G94" s="405">
        <v>50.074895146794489</v>
      </c>
      <c r="H94" s="405">
        <v>50.82466918714556</v>
      </c>
      <c r="I94" s="405">
        <v>50.116366366366364</v>
      </c>
      <c r="J94" s="405">
        <v>50.779359430604984</v>
      </c>
      <c r="K94" s="405">
        <v>50.018242122719734</v>
      </c>
      <c r="L94" s="405">
        <v>50.154437086092713</v>
      </c>
      <c r="M94" s="405">
        <v>50.194029850746269</v>
      </c>
      <c r="N94" s="405">
        <v>50.273630830778465</v>
      </c>
    </row>
    <row r="95" spans="1:14" ht="14.5">
      <c r="A95" s="472"/>
      <c r="B95" s="578" t="s">
        <v>110</v>
      </c>
      <c r="C95" s="405">
        <v>50</v>
      </c>
      <c r="D95" s="405">
        <v>50.039223300970875</v>
      </c>
      <c r="E95" s="405">
        <v>50.158590308370044</v>
      </c>
      <c r="F95" s="405">
        <v>50.264054947850418</v>
      </c>
      <c r="G95" s="405">
        <v>50.058287073750989</v>
      </c>
      <c r="H95" s="405">
        <v>50.774642289348172</v>
      </c>
      <c r="I95" s="405">
        <v>50.088495575221238</v>
      </c>
      <c r="J95" s="405">
        <v>50.397686832740213</v>
      </c>
      <c r="K95" s="405">
        <v>50.034907597535934</v>
      </c>
      <c r="L95" s="405">
        <v>50.11022576361222</v>
      </c>
      <c r="M95" s="405">
        <v>49.986376021798364</v>
      </c>
      <c r="N95" s="405">
        <v>50.077125183757111</v>
      </c>
    </row>
    <row r="96" spans="1:14" ht="14.5">
      <c r="A96" s="472"/>
      <c r="B96" s="578" t="s">
        <v>117</v>
      </c>
      <c r="C96" s="405">
        <v>50</v>
      </c>
      <c r="D96" s="405">
        <v>50.362147177419352</v>
      </c>
      <c r="E96" s="405">
        <v>50.311725452812205</v>
      </c>
      <c r="F96" s="405">
        <v>50.254879114477134</v>
      </c>
      <c r="G96" s="405">
        <v>50.118845228548516</v>
      </c>
      <c r="H96" s="405">
        <v>50.655258467023174</v>
      </c>
      <c r="I96" s="405">
        <v>50.135460992907802</v>
      </c>
      <c r="J96" s="405">
        <v>50.421282798833822</v>
      </c>
      <c r="K96" s="405">
        <v>50.043933054393307</v>
      </c>
      <c r="L96" s="405">
        <v>49.767947019867549</v>
      </c>
      <c r="M96" s="405">
        <v>50.329380764163375</v>
      </c>
      <c r="N96" s="405">
        <v>50.283858360588511</v>
      </c>
    </row>
    <row r="97" spans="1:14" ht="14.5">
      <c r="A97" s="472"/>
      <c r="B97" s="578" t="s">
        <v>112</v>
      </c>
      <c r="C97" s="405">
        <v>50</v>
      </c>
      <c r="D97" s="405">
        <v>50.516284183042465</v>
      </c>
      <c r="E97" s="405">
        <v>50.242432506135806</v>
      </c>
      <c r="F97" s="405">
        <v>50.41887664898681</v>
      </c>
      <c r="G97" s="405">
        <v>49.94459219858156</v>
      </c>
      <c r="H97" s="405">
        <v>50.622075782537067</v>
      </c>
      <c r="I97" s="405">
        <v>49.946690099589922</v>
      </c>
      <c r="J97" s="405">
        <v>50.489768683274022</v>
      </c>
      <c r="K97" s="405">
        <v>50.043333333333337</v>
      </c>
      <c r="L97" s="405">
        <v>50.295223768333962</v>
      </c>
      <c r="M97" s="405">
        <v>49.925149700598801</v>
      </c>
      <c r="N97" s="405">
        <v>50.001936939699839</v>
      </c>
    </row>
    <row r="98" spans="1:14" ht="14.5">
      <c r="A98" s="472"/>
      <c r="B98" s="578" t="s">
        <v>113</v>
      </c>
      <c r="C98" s="405">
        <v>50</v>
      </c>
      <c r="D98" s="405">
        <v>50.405370843989772</v>
      </c>
      <c r="E98" s="405">
        <v>50.195519911504427</v>
      </c>
      <c r="F98" s="405">
        <v>49.926633785450065</v>
      </c>
      <c r="G98" s="405">
        <v>50.118200231481481</v>
      </c>
      <c r="H98" s="405">
        <v>49.468549422336331</v>
      </c>
      <c r="I98" s="405">
        <v>50.39566563467492</v>
      </c>
      <c r="J98" s="405">
        <v>50.421708185053383</v>
      </c>
      <c r="K98" s="405">
        <v>50.013816925734027</v>
      </c>
      <c r="L98" s="405">
        <v>50.209242618741975</v>
      </c>
      <c r="M98" s="405">
        <v>50.070684523809526</v>
      </c>
      <c r="N98" s="405">
        <v>50.097391478521466</v>
      </c>
    </row>
    <row r="99" spans="1:14" ht="14.5">
      <c r="A99" s="472"/>
      <c r="B99" s="578" t="s">
        <v>114</v>
      </c>
      <c r="C99" s="405">
        <v>50</v>
      </c>
      <c r="D99" s="405">
        <v>50.596784565916401</v>
      </c>
      <c r="E99" s="405">
        <v>50.030969845150771</v>
      </c>
      <c r="F99" s="405">
        <v>49.834898515601331</v>
      </c>
      <c r="G99" s="405">
        <v>50.038214702450411</v>
      </c>
      <c r="H99" s="405">
        <v>50.116121308858737</v>
      </c>
      <c r="I99" s="405">
        <v>50.280751708428248</v>
      </c>
      <c r="J99" s="405">
        <v>50.80152963671128</v>
      </c>
      <c r="K99" s="405">
        <v>49.979035639412999</v>
      </c>
      <c r="L99" s="405">
        <v>50.467611596745357</v>
      </c>
      <c r="M99" s="405">
        <v>49.872548192429981</v>
      </c>
      <c r="N99" s="405">
        <v>50.209074969433317</v>
      </c>
    </row>
    <row r="100" spans="1:14" ht="14.5">
      <c r="A100" s="472"/>
      <c r="B100" s="578" t="s">
        <v>115</v>
      </c>
      <c r="C100" s="405">
        <v>50</v>
      </c>
      <c r="D100" s="405">
        <v>50.582475553268139</v>
      </c>
      <c r="E100" s="405">
        <v>50.328896776101743</v>
      </c>
      <c r="F100" s="405">
        <v>49.668451458362689</v>
      </c>
      <c r="G100" s="405">
        <v>50.022702506356701</v>
      </c>
      <c r="H100" s="405">
        <v>50.670529801324506</v>
      </c>
      <c r="I100" s="405">
        <v>50.186046511627907</v>
      </c>
      <c r="J100" s="405">
        <v>50.801908396946565</v>
      </c>
      <c r="K100" s="405">
        <v>50.070796460176993</v>
      </c>
      <c r="L100" s="405">
        <v>50.477766929744</v>
      </c>
      <c r="M100" s="405">
        <v>49.940163184076077</v>
      </c>
      <c r="N100" s="405">
        <v>50.275000710603962</v>
      </c>
    </row>
    <row r="101" spans="1:14" ht="14.5">
      <c r="A101" s="473"/>
      <c r="B101" s="576" t="s">
        <v>116</v>
      </c>
      <c r="C101" s="407">
        <v>50</v>
      </c>
      <c r="D101" s="407">
        <v>50.155331991951712</v>
      </c>
      <c r="E101" s="407">
        <v>50.252848783492453</v>
      </c>
      <c r="F101" s="407">
        <v>49.834385964912279</v>
      </c>
      <c r="G101" s="407">
        <v>50.19934003299835</v>
      </c>
      <c r="H101" s="407">
        <v>49.607056936647957</v>
      </c>
      <c r="I101" s="407">
        <v>50.103427540589294</v>
      </c>
      <c r="J101" s="407">
        <v>50.015648854961832</v>
      </c>
      <c r="K101" s="407">
        <v>50.048780487804876</v>
      </c>
      <c r="L101" s="407">
        <v>50.235690222318965</v>
      </c>
      <c r="M101" s="407">
        <v>50.409836065573771</v>
      </c>
      <c r="N101" s="407">
        <v>49.914198447241276</v>
      </c>
    </row>
    <row r="102" spans="1:14" ht="14.5">
      <c r="A102" s="471">
        <v>2023</v>
      </c>
      <c r="B102" s="559" t="s">
        <v>105</v>
      </c>
      <c r="C102" s="403">
        <v>50</v>
      </c>
      <c r="D102" s="403">
        <v>50.799924736578021</v>
      </c>
      <c r="E102" s="403">
        <v>50.400135180804327</v>
      </c>
      <c r="F102" s="403">
        <v>50.16796576493963</v>
      </c>
      <c r="G102" s="403">
        <v>50.007285974499091</v>
      </c>
      <c r="H102" s="403">
        <v>49.709760273972606</v>
      </c>
      <c r="I102" s="403">
        <v>50.0142063001853</v>
      </c>
      <c r="J102" s="403">
        <v>49.965464313123562</v>
      </c>
      <c r="K102" s="403">
        <v>50.070205479452056</v>
      </c>
      <c r="L102" s="403">
        <v>49.613424564801683</v>
      </c>
      <c r="M102" s="403">
        <v>49.943799851851594</v>
      </c>
      <c r="N102" s="403">
        <v>50.206363937818949</v>
      </c>
    </row>
    <row r="103" spans="1:14" ht="14.5">
      <c r="A103" s="472"/>
      <c r="B103" s="559" t="s">
        <v>106</v>
      </c>
      <c r="C103" s="405">
        <v>50</v>
      </c>
      <c r="D103" s="405">
        <v>50.116552771450266</v>
      </c>
      <c r="E103" s="405">
        <v>50.042383292383292</v>
      </c>
      <c r="F103" s="405">
        <v>50.490670553935857</v>
      </c>
      <c r="G103" s="405">
        <v>50.361691022964507</v>
      </c>
      <c r="H103" s="405">
        <v>50.620874904067534</v>
      </c>
      <c r="I103" s="405">
        <v>50.143386897404206</v>
      </c>
      <c r="J103" s="405">
        <v>50.478511128165771</v>
      </c>
      <c r="K103" s="405">
        <v>49.998263888888886</v>
      </c>
      <c r="L103" s="405">
        <v>49.931987592782399</v>
      </c>
      <c r="M103" s="405">
        <v>50.195651201830366</v>
      </c>
      <c r="N103" s="405">
        <v>50.042617827180003</v>
      </c>
    </row>
    <row r="104" spans="1:14" ht="14.5">
      <c r="A104" s="472"/>
      <c r="B104" s="559" t="s">
        <v>107</v>
      </c>
      <c r="C104" s="405">
        <v>50</v>
      </c>
      <c r="D104" s="405">
        <v>49.65667335674862</v>
      </c>
      <c r="E104" s="405">
        <v>50.144880495721452</v>
      </c>
      <c r="F104" s="405">
        <v>50.157357444946769</v>
      </c>
      <c r="G104" s="405">
        <v>50.343981644899401</v>
      </c>
      <c r="H104" s="405">
        <v>49.627442466348242</v>
      </c>
      <c r="I104" s="405">
        <v>50.301698886936144</v>
      </c>
      <c r="J104" s="405">
        <v>50.413277052954719</v>
      </c>
      <c r="K104" s="405">
        <v>50.006147540983605</v>
      </c>
      <c r="L104" s="405">
        <v>49.743676336862706</v>
      </c>
      <c r="M104" s="405">
        <v>50.049651725270969</v>
      </c>
      <c r="N104" s="405">
        <v>50.035720699744537</v>
      </c>
    </row>
    <row r="105" spans="1:14" ht="14.5">
      <c r="A105" s="472"/>
      <c r="B105" s="559" t="s">
        <v>108</v>
      </c>
      <c r="C105" s="405">
        <v>50</v>
      </c>
      <c r="D105" s="405">
        <v>50.276659696811294</v>
      </c>
      <c r="E105" s="405">
        <v>50.030805687203788</v>
      </c>
      <c r="F105" s="405">
        <v>50.525633802816898</v>
      </c>
      <c r="G105" s="405">
        <v>49.991704906459582</v>
      </c>
      <c r="H105" s="405">
        <v>50.18495297805643</v>
      </c>
      <c r="I105" s="405">
        <v>50.056905749851808</v>
      </c>
      <c r="J105" s="405">
        <v>50.097467382962392</v>
      </c>
      <c r="K105" s="405">
        <v>49.964552238805972</v>
      </c>
      <c r="L105" s="405">
        <v>50.320266562132495</v>
      </c>
      <c r="M105" s="405">
        <v>50.3740967789224</v>
      </c>
      <c r="N105" s="405">
        <v>50.168118874938806</v>
      </c>
    </row>
    <row r="106" spans="1:14" ht="14.5">
      <c r="A106" s="472"/>
      <c r="B106" s="559" t="s">
        <v>109</v>
      </c>
      <c r="C106" s="405">
        <v>50</v>
      </c>
      <c r="D106" s="405">
        <v>49.645344236349246</v>
      </c>
      <c r="E106" s="405">
        <v>50.132200460829495</v>
      </c>
      <c r="F106" s="405">
        <v>50.167377666248434</v>
      </c>
      <c r="G106" s="405">
        <v>49.791073625021966</v>
      </c>
      <c r="H106" s="405">
        <v>50.548621190130625</v>
      </c>
      <c r="I106" s="405">
        <v>50.13377324535093</v>
      </c>
      <c r="J106" s="405">
        <v>50.044512663085186</v>
      </c>
      <c r="K106" s="405">
        <v>49.989031078610601</v>
      </c>
      <c r="L106" s="405">
        <v>50.338609362444842</v>
      </c>
      <c r="M106" s="405">
        <v>50.219487775792317</v>
      </c>
      <c r="N106" s="405">
        <v>50.021801295632557</v>
      </c>
    </row>
    <row r="107" spans="1:14" ht="14.5">
      <c r="A107" s="472"/>
      <c r="B107" s="559" t="s">
        <v>110</v>
      </c>
      <c r="C107" s="405">
        <v>50</v>
      </c>
      <c r="D107" s="405">
        <v>50.829816628987693</v>
      </c>
      <c r="E107" s="405">
        <v>50.110046367851623</v>
      </c>
      <c r="F107" s="405">
        <v>50.254050550874922</v>
      </c>
      <c r="G107" s="405">
        <v>50.076108778974266</v>
      </c>
      <c r="H107" s="405">
        <v>50.196589769307927</v>
      </c>
      <c r="I107" s="405">
        <v>50.090799759470833</v>
      </c>
      <c r="J107" s="405">
        <v>50.467382962394474</v>
      </c>
      <c r="K107" s="405">
        <v>50.034602076124564</v>
      </c>
      <c r="L107" s="405">
        <v>50.546378790967808</v>
      </c>
      <c r="M107" s="405">
        <v>49.866921871875853</v>
      </c>
      <c r="N107" s="405">
        <v>50.232380735511782</v>
      </c>
    </row>
    <row r="108" spans="1:14" ht="14.5">
      <c r="A108" s="472"/>
      <c r="B108" s="559" t="s">
        <v>117</v>
      </c>
      <c r="C108" s="405">
        <v>50</v>
      </c>
      <c r="D108" s="405">
        <v>50.384328358208954</v>
      </c>
      <c r="E108" s="405">
        <v>50.108402638371089</v>
      </c>
      <c r="F108" s="405">
        <v>50.401618929016188</v>
      </c>
      <c r="G108" s="405">
        <v>50.090737240075612</v>
      </c>
      <c r="H108" s="405">
        <v>50</v>
      </c>
      <c r="I108" s="405">
        <v>49.978835978835981</v>
      </c>
      <c r="J108" s="405">
        <v>50.752494244052187</v>
      </c>
      <c r="K108" s="405">
        <v>50.037950664136623</v>
      </c>
      <c r="L108" s="405">
        <v>50.15893056071296</v>
      </c>
      <c r="M108" s="405">
        <v>50.604802369852742</v>
      </c>
      <c r="N108" s="405">
        <v>50.186182203951731</v>
      </c>
    </row>
    <row r="109" spans="1:14" ht="14.5">
      <c r="A109" s="472"/>
      <c r="B109" s="559" t="s">
        <v>112</v>
      </c>
      <c r="C109" s="405">
        <v>50</v>
      </c>
      <c r="D109" s="405">
        <v>50.058493150684932</v>
      </c>
      <c r="E109" s="405">
        <v>50.305991855730078</v>
      </c>
      <c r="F109" s="405">
        <v>50.306282722513089</v>
      </c>
      <c r="G109" s="405">
        <v>50.033415406260993</v>
      </c>
      <c r="H109" s="405">
        <v>50.775108121095627</v>
      </c>
      <c r="I109" s="405">
        <v>50.118550368550366</v>
      </c>
      <c r="J109" s="405">
        <v>50.056024558710668</v>
      </c>
      <c r="K109" s="405">
        <v>50.098615916955019</v>
      </c>
      <c r="L109" s="405">
        <v>50.233661735858156</v>
      </c>
      <c r="M109" s="405">
        <v>50.207572739039904</v>
      </c>
      <c r="N109" s="405">
        <v>50.188371805949885</v>
      </c>
    </row>
    <row r="110" spans="1:14" ht="14.5">
      <c r="A110" s="472"/>
      <c r="B110" s="578" t="s">
        <v>113</v>
      </c>
      <c r="C110" s="405">
        <v>50</v>
      </c>
      <c r="D110" s="405">
        <v>50.618094178717094</v>
      </c>
      <c r="E110" s="405">
        <v>50.222464558342423</v>
      </c>
      <c r="F110" s="405">
        <v>49.991876750700278</v>
      </c>
      <c r="G110" s="405">
        <v>49.986310937281743</v>
      </c>
      <c r="H110" s="405">
        <v>49.49613460663938</v>
      </c>
      <c r="I110" s="405">
        <v>50.22181596587447</v>
      </c>
      <c r="J110" s="405">
        <v>50.478511128165771</v>
      </c>
      <c r="K110" s="405">
        <v>50.101933216168717</v>
      </c>
      <c r="L110" s="405">
        <v>50.08877551020408</v>
      </c>
      <c r="M110" s="405">
        <v>50.161840367373713</v>
      </c>
      <c r="N110" s="405">
        <v>50.194870761435517</v>
      </c>
    </row>
    <row r="111" spans="1:14" ht="14.5">
      <c r="A111" s="472"/>
      <c r="B111" s="578" t="s">
        <v>114</v>
      </c>
      <c r="C111" s="405">
        <v>50</v>
      </c>
      <c r="D111" s="405">
        <v>50.064900662251652</v>
      </c>
      <c r="E111" s="405">
        <v>50.219240650870681</v>
      </c>
      <c r="F111" s="405">
        <v>49.606501632208925</v>
      </c>
      <c r="G111" s="405">
        <v>49.900427161584915</v>
      </c>
      <c r="H111" s="405">
        <v>50.153029632905792</v>
      </c>
      <c r="I111" s="405">
        <v>50.073662265462126</v>
      </c>
      <c r="J111" s="405">
        <v>50.08790322580645</v>
      </c>
      <c r="K111" s="405">
        <v>50.009433962264154</v>
      </c>
      <c r="L111" s="405">
        <v>50.057911627475406</v>
      </c>
      <c r="M111" s="405">
        <v>49.95343125668299</v>
      </c>
      <c r="N111" s="405">
        <v>50.271107286280653</v>
      </c>
    </row>
    <row r="112" spans="1:14" ht="14.5">
      <c r="A112" s="472"/>
      <c r="B112" s="578" t="s">
        <v>115</v>
      </c>
      <c r="C112" s="405">
        <v>50</v>
      </c>
      <c r="D112" s="405">
        <v>50.045489790643579</v>
      </c>
      <c r="E112" s="405">
        <v>49.947604370972265</v>
      </c>
      <c r="F112" s="405">
        <v>49.728829245719574</v>
      </c>
      <c r="G112" s="405">
        <v>50.177651999269671</v>
      </c>
      <c r="H112" s="405">
        <v>50.462347496844764</v>
      </c>
      <c r="I112" s="405">
        <v>50.012014787430687</v>
      </c>
      <c r="J112" s="405">
        <v>50.073292402148887</v>
      </c>
      <c r="K112" s="405">
        <v>49.994413407821227</v>
      </c>
      <c r="L112" s="405">
        <v>50.383421342526347</v>
      </c>
      <c r="M112" s="405">
        <v>49.501120657850684</v>
      </c>
      <c r="N112" s="405">
        <v>50.373104260762425</v>
      </c>
    </row>
    <row r="113" spans="1:14" ht="14.5">
      <c r="A113" s="473"/>
      <c r="B113" s="576" t="s">
        <v>116</v>
      </c>
      <c r="C113" s="407">
        <v>50</v>
      </c>
      <c r="D113" s="407">
        <v>50.632809889742731</v>
      </c>
      <c r="E113" s="407">
        <v>50.229037703995495</v>
      </c>
      <c r="F113" s="407">
        <v>50.005726556907661</v>
      </c>
      <c r="G113" s="407">
        <v>50.367276227141481</v>
      </c>
      <c r="H113" s="407">
        <v>50.712694877505569</v>
      </c>
      <c r="I113" s="407">
        <v>49.869135802469138</v>
      </c>
      <c r="J113" s="407">
        <v>50.147172734314488</v>
      </c>
      <c r="K113" s="407">
        <v>50.045028142589118</v>
      </c>
      <c r="L113" s="407">
        <v>50.560342193706077</v>
      </c>
      <c r="M113" s="407">
        <v>50.799062489461434</v>
      </c>
      <c r="N113" s="407">
        <v>50.133372029798963</v>
      </c>
    </row>
    <row r="114" spans="1:14" ht="14.5">
      <c r="A114" s="471">
        <v>2024</v>
      </c>
      <c r="B114" s="577" t="s">
        <v>105</v>
      </c>
      <c r="C114" s="403">
        <v>50</v>
      </c>
      <c r="D114" s="403">
        <v>50</v>
      </c>
      <c r="E114" s="403">
        <v>50.052868729348155</v>
      </c>
      <c r="F114" s="403">
        <v>50.049742477636215</v>
      </c>
      <c r="G114" s="403">
        <v>49.948128036581878</v>
      </c>
      <c r="H114" s="403">
        <v>49.276916451335055</v>
      </c>
      <c r="I114" s="403">
        <v>50.223416965352449</v>
      </c>
      <c r="J114" s="403">
        <v>50.447429009976979</v>
      </c>
      <c r="K114" s="403">
        <v>50.070546737213405</v>
      </c>
      <c r="L114" s="403">
        <v>49.510598241707442</v>
      </c>
      <c r="M114" s="403">
        <v>49.930227383971875</v>
      </c>
      <c r="N114" s="403">
        <v>50.181183867197241</v>
      </c>
    </row>
    <row r="115" spans="1:14" ht="14.5">
      <c r="A115" s="472"/>
      <c r="B115" s="578" t="s">
        <v>106</v>
      </c>
      <c r="C115" s="405">
        <v>50</v>
      </c>
      <c r="D115" s="405">
        <v>50.200179331988345</v>
      </c>
      <c r="E115" s="405">
        <v>50.219545300305398</v>
      </c>
      <c r="F115" s="405">
        <v>50.505638134290109</v>
      </c>
      <c r="G115" s="405">
        <v>50.57804962095107</v>
      </c>
      <c r="H115" s="405">
        <v>50.579772079772077</v>
      </c>
      <c r="I115" s="405">
        <v>50.310570071258908</v>
      </c>
      <c r="J115" s="405">
        <v>50.026904130352406</v>
      </c>
      <c r="K115" s="405">
        <v>49.909385113268605</v>
      </c>
      <c r="L115" s="405">
        <v>49.775308641975307</v>
      </c>
      <c r="M115" s="405">
        <v>49.622067216233354</v>
      </c>
      <c r="N115" s="405">
        <v>50.028848911756086</v>
      </c>
    </row>
    <row r="116" spans="1:14" ht="14.5">
      <c r="A116" s="472"/>
      <c r="B116" s="578" t="s">
        <v>107</v>
      </c>
      <c r="C116" s="405">
        <v>50</v>
      </c>
      <c r="D116" s="405">
        <v>50.193475694817039</v>
      </c>
      <c r="E116" s="405">
        <v>50.18818948734588</v>
      </c>
      <c r="F116" s="405">
        <v>50.071410023370554</v>
      </c>
      <c r="G116" s="405">
        <v>50.457781700500149</v>
      </c>
      <c r="H116" s="405">
        <v>49.950118764845605</v>
      </c>
      <c r="I116" s="405">
        <v>50.149313501144164</v>
      </c>
      <c r="J116" s="405">
        <v>50.115574081091324</v>
      </c>
      <c r="K116" s="405">
        <v>50.141935483870967</v>
      </c>
      <c r="L116" s="405">
        <v>50.684606481481481</v>
      </c>
      <c r="M116" s="405">
        <v>49.487354750512644</v>
      </c>
      <c r="N116" s="405">
        <v>50.139374647706951</v>
      </c>
    </row>
    <row r="117" spans="1:14" ht="14.5">
      <c r="A117" s="472"/>
      <c r="B117" s="578" t="s">
        <v>108</v>
      </c>
      <c r="C117" s="405">
        <v>50</v>
      </c>
      <c r="D117" s="405">
        <v>50.189554921239029</v>
      </c>
      <c r="E117" s="405">
        <v>50.053360488798369</v>
      </c>
      <c r="F117" s="405">
        <v>50.433183279742764</v>
      </c>
      <c r="G117" s="405">
        <v>49.931360946745563</v>
      </c>
      <c r="H117" s="405">
        <v>49.479877515310584</v>
      </c>
      <c r="I117" s="405">
        <v>50.124697336561745</v>
      </c>
      <c r="J117" s="405">
        <v>50.243146603098928</v>
      </c>
      <c r="K117" s="405">
        <v>49.993589743589745</v>
      </c>
      <c r="L117" s="405">
        <v>50.480502313284866</v>
      </c>
      <c r="M117" s="405">
        <v>50.643125213237802</v>
      </c>
      <c r="N117" s="405">
        <v>50.072753687974966</v>
      </c>
    </row>
    <row r="118" spans="1:14" ht="14.5">
      <c r="A118" s="472"/>
      <c r="B118" s="578" t="s">
        <v>109</v>
      </c>
      <c r="C118" s="405">
        <v>50</v>
      </c>
      <c r="D118" s="405">
        <v>50.214450503355707</v>
      </c>
      <c r="E118" s="405">
        <v>50.109790209790212</v>
      </c>
      <c r="F118" s="405">
        <v>50.173526287838556</v>
      </c>
      <c r="G118" s="405">
        <v>50.003322259136212</v>
      </c>
      <c r="H118" s="405">
        <v>50.078740157480318</v>
      </c>
      <c r="I118" s="405">
        <v>49.982608695652175</v>
      </c>
      <c r="J118" s="405">
        <v>50.026904130352406</v>
      </c>
      <c r="K118" s="405">
        <v>50.009433962264154</v>
      </c>
      <c r="L118" s="405">
        <v>50.113811838718902</v>
      </c>
      <c r="M118" s="405">
        <v>50.013043478260869</v>
      </c>
      <c r="N118" s="405">
        <v>50.178023393067924</v>
      </c>
    </row>
    <row r="119" spans="1:14" ht="14.5">
      <c r="A119" s="472"/>
      <c r="B119" s="578" t="s">
        <v>110</v>
      </c>
      <c r="C119" s="405">
        <v>50</v>
      </c>
      <c r="D119" s="405">
        <v>49.977865168539324</v>
      </c>
      <c r="E119" s="405">
        <v>50.246941403734709</v>
      </c>
      <c r="F119" s="405">
        <v>49.789466427685099</v>
      </c>
      <c r="G119" s="405">
        <v>50.102210737869655</v>
      </c>
      <c r="H119" s="405">
        <v>50.090988626421698</v>
      </c>
      <c r="I119" s="405">
        <v>50.163003663003664</v>
      </c>
      <c r="J119" s="405">
        <v>50.032967032967036</v>
      </c>
      <c r="K119" s="405">
        <v>50</v>
      </c>
      <c r="L119" s="405">
        <v>50.431830099632933</v>
      </c>
      <c r="M119" s="405">
        <v>49.449741315594977</v>
      </c>
      <c r="N119" s="405">
        <v>50.140503531266695</v>
      </c>
    </row>
    <row r="120" spans="1:14" ht="14.5">
      <c r="A120" s="472"/>
      <c r="B120" s="578" t="s">
        <v>117</v>
      </c>
      <c r="C120" s="405">
        <v>50</v>
      </c>
      <c r="D120" s="405">
        <v>50.395868288590606</v>
      </c>
      <c r="E120" s="405">
        <v>49.954827586206896</v>
      </c>
      <c r="F120" s="405">
        <v>50.052945182158666</v>
      </c>
      <c r="G120" s="405">
        <v>50.003938356164383</v>
      </c>
      <c r="H120" s="405">
        <v>50.703849518810152</v>
      </c>
      <c r="I120" s="405">
        <v>49.944741532976828</v>
      </c>
      <c r="J120" s="405">
        <v>50.081960626757734</v>
      </c>
      <c r="K120" s="405">
        <v>50.003164556962027</v>
      </c>
      <c r="L120" s="405">
        <v>49.86973623322536</v>
      </c>
      <c r="M120" s="405">
        <v>50.541218637992834</v>
      </c>
      <c r="N120" s="405">
        <v>50.021923817810723</v>
      </c>
    </row>
    <row r="121" spans="1:14" ht="14.5">
      <c r="A121" s="472"/>
      <c r="B121" s="578" t="s">
        <v>112</v>
      </c>
      <c r="C121" s="405">
        <v>50</v>
      </c>
      <c r="D121" s="405">
        <v>50.318290454098133</v>
      </c>
      <c r="E121" s="405">
        <v>50.165446559297216</v>
      </c>
      <c r="F121" s="405">
        <v>50.291976091287808</v>
      </c>
      <c r="G121" s="405">
        <v>50.123789967732471</v>
      </c>
      <c r="H121" s="405">
        <v>50</v>
      </c>
      <c r="I121" s="405">
        <v>50.17314487632509</v>
      </c>
      <c r="J121" s="405">
        <v>50.405189620758485</v>
      </c>
      <c r="K121" s="405">
        <v>50</v>
      </c>
      <c r="L121" s="405">
        <v>50.487705956907476</v>
      </c>
      <c r="M121" s="405">
        <v>50</v>
      </c>
      <c r="N121" s="405">
        <v>50.198535725630265</v>
      </c>
    </row>
    <row r="122" spans="1:14" ht="14.5">
      <c r="A122" s="472"/>
      <c r="B122" s="578" t="s">
        <v>113</v>
      </c>
      <c r="C122" s="405">
        <v>50</v>
      </c>
      <c r="D122" s="405">
        <v>50.189231738035268</v>
      </c>
      <c r="E122" s="405">
        <v>50.192622950819676</v>
      </c>
      <c r="F122" s="405">
        <v>49.800273182577023</v>
      </c>
      <c r="G122" s="405">
        <v>49.739581788521427</v>
      </c>
      <c r="H122" s="405">
        <v>50.650918635170605</v>
      </c>
      <c r="I122" s="405">
        <v>50.066590779738192</v>
      </c>
      <c r="J122" s="405">
        <v>50.114905584572121</v>
      </c>
      <c r="K122" s="405">
        <v>50.105849582172702</v>
      </c>
      <c r="L122" s="405">
        <v>50.120295015259408</v>
      </c>
      <c r="M122" s="405">
        <v>50.085218469166406</v>
      </c>
      <c r="N122" s="405">
        <v>50.291176264784411</v>
      </c>
    </row>
    <row r="123" spans="1:14" ht="14.5">
      <c r="A123" s="472"/>
      <c r="B123" s="578" t="s">
        <v>114</v>
      </c>
      <c r="C123" s="405">
        <v>50</v>
      </c>
      <c r="D123" s="405">
        <v>50.020658557046978</v>
      </c>
      <c r="E123" s="405">
        <v>50.103160405485987</v>
      </c>
      <c r="F123" s="405">
        <v>49.658559912556363</v>
      </c>
      <c r="G123" s="405">
        <v>50.112013231093066</v>
      </c>
      <c r="H123" s="405">
        <v>50.679474708171206</v>
      </c>
      <c r="I123" s="405">
        <v>49.92629716981132</v>
      </c>
      <c r="J123" s="405">
        <v>50.436319807151463</v>
      </c>
      <c r="K123" s="405">
        <v>50.064245810055866</v>
      </c>
      <c r="L123" s="405">
        <v>50.212380473074987</v>
      </c>
      <c r="M123" s="405">
        <v>49.955562461155999</v>
      </c>
      <c r="N123" s="405">
        <v>50.181775833735145</v>
      </c>
    </row>
    <row r="124" spans="1:14" ht="14.5">
      <c r="A124" s="472"/>
      <c r="B124" s="578" t="s">
        <v>115</v>
      </c>
      <c r="C124" s="405">
        <v>50</v>
      </c>
      <c r="D124" s="405">
        <v>50.035234899328856</v>
      </c>
      <c r="E124" s="405">
        <v>50.142334552710345</v>
      </c>
      <c r="F124" s="405">
        <v>49.950147379213121</v>
      </c>
      <c r="G124" s="405">
        <v>50.198622273249136</v>
      </c>
      <c r="H124" s="405">
        <v>50.637795275590548</v>
      </c>
      <c r="I124" s="405">
        <v>49.721977052074138</v>
      </c>
      <c r="J124" s="405">
        <v>50.127459016393445</v>
      </c>
      <c r="K124" s="405">
        <v>49.92238805970149</v>
      </c>
      <c r="L124" s="405">
        <v>50.544607566346698</v>
      </c>
      <c r="M124" s="405">
        <v>49.327234342012666</v>
      </c>
      <c r="N124" s="405">
        <v>49.967210217008066</v>
      </c>
    </row>
    <row r="125" spans="1:14" ht="14.5">
      <c r="A125" s="473"/>
      <c r="B125" s="576" t="s">
        <v>116</v>
      </c>
      <c r="C125" s="407">
        <v>50</v>
      </c>
      <c r="D125" s="407">
        <v>50.47122302158273</v>
      </c>
      <c r="E125" s="407">
        <v>50.227380952380955</v>
      </c>
      <c r="F125" s="407">
        <v>49.994736842105262</v>
      </c>
      <c r="G125" s="407">
        <v>50.645550808099571</v>
      </c>
      <c r="H125" s="407">
        <v>49.276863504356243</v>
      </c>
      <c r="I125" s="407">
        <v>50.566906474820144</v>
      </c>
      <c r="J125" s="407">
        <v>50.145684877276324</v>
      </c>
      <c r="K125" s="407">
        <v>50.027237354085607</v>
      </c>
      <c r="L125" s="407">
        <v>50.470091834202037</v>
      </c>
      <c r="M125" s="407">
        <v>50.771696637998438</v>
      </c>
      <c r="N125" s="407">
        <v>50.210042788824566</v>
      </c>
    </row>
    <row r="126" spans="1:14" ht="14.5">
      <c r="A126" s="471">
        <v>2025</v>
      </c>
      <c r="B126" s="577" t="s">
        <v>105</v>
      </c>
      <c r="C126" s="403">
        <v>50</v>
      </c>
      <c r="D126" s="403">
        <v>50.395203632751524</v>
      </c>
      <c r="E126" s="403">
        <v>49.996226415094341</v>
      </c>
      <c r="F126" s="403">
        <v>50.301029764423753</v>
      </c>
      <c r="G126" s="403">
        <v>50.28206677745883</v>
      </c>
      <c r="H126" s="403">
        <v>50.534490431686692</v>
      </c>
      <c r="I126" s="403">
        <v>49.791994281629734</v>
      </c>
      <c r="J126" s="403">
        <v>50.463996591393268</v>
      </c>
      <c r="K126" s="403">
        <v>50.089947089947088</v>
      </c>
      <c r="L126" s="403">
        <v>50.166709744119927</v>
      </c>
      <c r="M126" s="403">
        <v>49.968248429867408</v>
      </c>
      <c r="N126" s="403">
        <v>50.158789924694887</v>
      </c>
    </row>
    <row r="127" spans="1:14" ht="14.5">
      <c r="A127" s="472"/>
      <c r="B127" s="578" t="s">
        <v>106</v>
      </c>
      <c r="C127" s="405">
        <v>50</v>
      </c>
      <c r="D127" s="405">
        <v>50.407872696817421</v>
      </c>
      <c r="E127" s="405">
        <v>50.157526881720429</v>
      </c>
      <c r="F127" s="405">
        <v>50.396062894639101</v>
      </c>
      <c r="G127" s="405">
        <v>50.669428200129957</v>
      </c>
      <c r="H127" s="405">
        <v>49.419268510258696</v>
      </c>
      <c r="I127" s="405">
        <v>50.374009508716327</v>
      </c>
      <c r="J127" s="405">
        <v>50.511876484560567</v>
      </c>
      <c r="K127" s="405">
        <v>49.851190476190474</v>
      </c>
      <c r="L127" s="405">
        <v>49.315222834251379</v>
      </c>
      <c r="M127" s="405">
        <v>49.362201963534361</v>
      </c>
      <c r="N127" s="405">
        <v>49.829306873741729</v>
      </c>
    </row>
    <row r="128" spans="1:14" ht="14.5">
      <c r="A128" s="472"/>
      <c r="B128" s="578" t="s">
        <v>107</v>
      </c>
      <c r="C128" s="405">
        <v>50</v>
      </c>
      <c r="D128" s="405">
        <v>50.401825657193982</v>
      </c>
      <c r="E128" s="405">
        <v>50.013411078717198</v>
      </c>
      <c r="F128" s="405">
        <v>50.268299735086572</v>
      </c>
      <c r="G128" s="405">
        <v>49.629821339121726</v>
      </c>
      <c r="H128" s="405">
        <v>50.561637739207832</v>
      </c>
      <c r="I128" s="405">
        <v>49.963250883392227</v>
      </c>
      <c r="J128" s="405">
        <v>50.046680909530842</v>
      </c>
      <c r="K128" s="405">
        <v>50.060800252929049</v>
      </c>
      <c r="L128" s="405">
        <v>50.706442399238334</v>
      </c>
      <c r="M128" s="405">
        <v>50.645564455473092</v>
      </c>
      <c r="N128" s="405">
        <v>49.767700162153091</v>
      </c>
    </row>
    <row r="129" spans="1:14" ht="14.5">
      <c r="A129" s="472"/>
      <c r="B129" s="578" t="s">
        <v>108</v>
      </c>
      <c r="C129" s="405">
        <v>50</v>
      </c>
      <c r="D129" s="405">
        <v>50.090977162111571</v>
      </c>
      <c r="E129" s="405">
        <v>50.148230704931734</v>
      </c>
      <c r="F129" s="405">
        <v>50.367788136738277</v>
      </c>
      <c r="G129" s="405">
        <v>49.988892180094787</v>
      </c>
      <c r="H129" s="405">
        <v>49.565425727976411</v>
      </c>
      <c r="I129" s="405">
        <v>50.380252100840337</v>
      </c>
      <c r="J129" s="405">
        <v>50.224958030218239</v>
      </c>
      <c r="K129" s="405">
        <v>50.058282208588956</v>
      </c>
      <c r="L129" s="405">
        <v>50.226114649681527</v>
      </c>
      <c r="M129" s="405">
        <v>50.145520875557359</v>
      </c>
      <c r="N129" s="405">
        <v>50.176024080617722</v>
      </c>
    </row>
    <row r="130" spans="1:14" ht="14.5">
      <c r="A130" s="472"/>
      <c r="B130" s="578" t="s">
        <v>109</v>
      </c>
      <c r="C130" s="405">
        <v>50</v>
      </c>
      <c r="D130" s="405">
        <v>50.470787689097548</v>
      </c>
      <c r="E130" s="405">
        <v>50.063209076175042</v>
      </c>
      <c r="F130" s="405">
        <v>49.990476190476187</v>
      </c>
      <c r="G130" s="405">
        <v>49.908461842625542</v>
      </c>
      <c r="H130" s="405">
        <v>50.476964769647694</v>
      </c>
      <c r="I130" s="405">
        <v>49.89502262443439</v>
      </c>
      <c r="J130" s="405">
        <v>50.363602530703389</v>
      </c>
      <c r="K130" s="405">
        <v>50.401273885350321</v>
      </c>
      <c r="L130" s="405">
        <v>49.976449734109899</v>
      </c>
      <c r="M130" s="405">
        <v>49.623441396508731</v>
      </c>
      <c r="N130" s="405">
        <v>49.991211401425176</v>
      </c>
    </row>
    <row r="131" spans="1:14" ht="14.5">
      <c r="A131" s="472"/>
      <c r="B131" s="578" t="s">
        <v>110</v>
      </c>
      <c r="C131" s="702">
        <v>50</v>
      </c>
      <c r="D131" s="703">
        <v>50.4</v>
      </c>
      <c r="E131" s="703">
        <v>50.1</v>
      </c>
      <c r="F131" s="703">
        <v>49.8</v>
      </c>
      <c r="G131" s="703">
        <v>49.8</v>
      </c>
      <c r="H131" s="703">
        <v>50.3</v>
      </c>
      <c r="I131" s="703">
        <v>50.1</v>
      </c>
      <c r="J131" s="703">
        <v>50.7</v>
      </c>
      <c r="K131" s="703">
        <v>50.2</v>
      </c>
      <c r="L131" s="703">
        <v>50.1</v>
      </c>
      <c r="M131" s="703">
        <v>50.6</v>
      </c>
      <c r="N131" s="703">
        <v>50.2</v>
      </c>
    </row>
    <row r="132" spans="1:14" ht="14.5">
      <c r="A132" s="472"/>
      <c r="B132" s="578" t="s">
        <v>117</v>
      </c>
      <c r="C132" s="702">
        <v>50</v>
      </c>
      <c r="D132" s="703">
        <v>50.103724137931003</v>
      </c>
      <c r="E132" s="703">
        <v>49.986273364486003</v>
      </c>
      <c r="F132" s="703">
        <v>50.021827117664103</v>
      </c>
      <c r="G132" s="703">
        <v>49.7777777777778</v>
      </c>
      <c r="H132" s="703">
        <v>50.857249626307897</v>
      </c>
      <c r="I132" s="703">
        <v>49.934763948497903</v>
      </c>
      <c r="J132" s="703">
        <v>50.1230425055928</v>
      </c>
      <c r="K132" s="703">
        <v>50.133540372670801</v>
      </c>
      <c r="L132" s="703">
        <v>50.155990510083001</v>
      </c>
      <c r="M132" s="703">
        <v>49.447388342164999</v>
      </c>
      <c r="N132" s="703">
        <v>50.181904761904804</v>
      </c>
    </row>
    <row r="133" spans="1:14" ht="14.5">
      <c r="A133" s="473"/>
      <c r="B133" s="576" t="s">
        <v>112</v>
      </c>
      <c r="C133" s="696">
        <v>50</v>
      </c>
      <c r="D133" s="705">
        <v>49.840902835122499</v>
      </c>
      <c r="E133" s="705">
        <v>50.195608782435102</v>
      </c>
      <c r="F133" s="705">
        <v>50.285146265265602</v>
      </c>
      <c r="G133" s="705">
        <v>50.283882783882802</v>
      </c>
      <c r="H133" s="705">
        <v>49.282348397064503</v>
      </c>
      <c r="I133" s="705">
        <v>50.109103078982599</v>
      </c>
      <c r="J133" s="705">
        <v>50.378651685393301</v>
      </c>
      <c r="K133" s="705">
        <v>50.035398230088497</v>
      </c>
      <c r="L133" s="705">
        <v>50.160352422907501</v>
      </c>
      <c r="M133" s="705">
        <v>50.621771950735003</v>
      </c>
      <c r="N133" s="705">
        <v>49.968819931374</v>
      </c>
    </row>
    <row r="134" spans="1:14">
      <c r="C134" s="408"/>
    </row>
    <row r="135" spans="1:14" ht="14.5">
      <c r="A135" s="869" t="s">
        <v>350</v>
      </c>
      <c r="B135" s="869"/>
      <c r="C135" s="869"/>
      <c r="D135" s="869"/>
      <c r="E135" s="869"/>
      <c r="F135" s="869"/>
      <c r="G135" s="869"/>
      <c r="H135" s="869"/>
      <c r="I135" s="869"/>
      <c r="J135" s="869"/>
      <c r="K135" s="869"/>
      <c r="L135" s="869"/>
      <c r="M135" s="869"/>
      <c r="N135" s="869"/>
    </row>
    <row r="136" spans="1:14" ht="18.649999999999999" customHeight="1">
      <c r="A136" s="735" t="s">
        <v>98</v>
      </c>
      <c r="B136" s="739"/>
      <c r="C136" s="863" t="s">
        <v>324</v>
      </c>
      <c r="D136" s="864" t="s">
        <v>338</v>
      </c>
      <c r="E136" s="865"/>
      <c r="F136" s="865"/>
      <c r="G136" s="865"/>
      <c r="H136" s="865"/>
      <c r="I136" s="865"/>
      <c r="J136" s="865"/>
      <c r="K136" s="865"/>
      <c r="L136" s="865"/>
      <c r="M136" s="865"/>
      <c r="N136" s="866"/>
    </row>
    <row r="137" spans="1:14" ht="62.15" customHeight="1">
      <c r="A137" s="740"/>
      <c r="B137" s="741"/>
      <c r="C137" s="738"/>
      <c r="D137" s="556" t="s">
        <v>339</v>
      </c>
      <c r="E137" s="556" t="s">
        <v>215</v>
      </c>
      <c r="F137" s="556" t="s">
        <v>340</v>
      </c>
      <c r="G137" s="556" t="s">
        <v>341</v>
      </c>
      <c r="H137" s="556" t="s">
        <v>342</v>
      </c>
      <c r="I137" s="556" t="s">
        <v>343</v>
      </c>
      <c r="J137" s="557" t="s">
        <v>344</v>
      </c>
      <c r="K137" s="557" t="s">
        <v>345</v>
      </c>
      <c r="L137" s="557" t="s">
        <v>346</v>
      </c>
      <c r="M137" s="478" t="s">
        <v>347</v>
      </c>
      <c r="N137" s="478" t="s">
        <v>348</v>
      </c>
    </row>
    <row r="138" spans="1:14" ht="14.5">
      <c r="A138" s="471">
        <v>2020</v>
      </c>
      <c r="B138" s="558" t="s">
        <v>112</v>
      </c>
      <c r="C138" s="402">
        <v>50</v>
      </c>
      <c r="D138" s="403">
        <v>50.327892122072392</v>
      </c>
      <c r="E138" s="403">
        <v>50.059807760768955</v>
      </c>
      <c r="F138" s="403">
        <v>50.065309842041316</v>
      </c>
      <c r="G138" s="403">
        <v>50.211207576953434</v>
      </c>
      <c r="H138" s="403">
        <v>50.030784186649385</v>
      </c>
      <c r="I138" s="403">
        <v>50.234285714285711</v>
      </c>
      <c r="J138" s="403">
        <v>49.794757389849416</v>
      </c>
      <c r="K138" s="403">
        <v>50.095389507154216</v>
      </c>
      <c r="L138" s="402">
        <v>49.676938047356472</v>
      </c>
      <c r="M138" s="403">
        <v>50.099041533546327</v>
      </c>
      <c r="N138" s="403">
        <v>49.997427652733116</v>
      </c>
    </row>
    <row r="139" spans="1:14">
      <c r="A139" s="449"/>
      <c r="B139" s="559" t="s">
        <v>113</v>
      </c>
      <c r="C139" s="404">
        <v>50</v>
      </c>
      <c r="D139" s="405">
        <v>50.095842142353767</v>
      </c>
      <c r="E139" s="405">
        <v>50.124823695345555</v>
      </c>
      <c r="F139" s="405">
        <v>49.951186188051174</v>
      </c>
      <c r="G139" s="405">
        <v>50.124010136205257</v>
      </c>
      <c r="H139" s="405">
        <v>50.162648666023784</v>
      </c>
      <c r="I139" s="405">
        <v>50.377876763177433</v>
      </c>
      <c r="J139" s="405">
        <v>50.01241753977493</v>
      </c>
      <c r="K139" s="405">
        <v>50.061514195583598</v>
      </c>
      <c r="L139" s="404">
        <v>50.281621859850155</v>
      </c>
      <c r="M139" s="405">
        <v>50.022090059473236</v>
      </c>
      <c r="N139" s="405">
        <v>50.196158323632133</v>
      </c>
    </row>
    <row r="140" spans="1:14">
      <c r="A140" s="449"/>
      <c r="B140" s="559" t="s">
        <v>114</v>
      </c>
      <c r="C140" s="404">
        <v>50</v>
      </c>
      <c r="D140" s="405">
        <v>49.240355125100891</v>
      </c>
      <c r="E140" s="405">
        <v>50.020395550061806</v>
      </c>
      <c r="F140" s="405">
        <v>50.285432293722856</v>
      </c>
      <c r="G140" s="405">
        <v>50.137551581843191</v>
      </c>
      <c r="H140" s="405">
        <v>49.997580861929933</v>
      </c>
      <c r="I140" s="405">
        <v>50.164007092198581</v>
      </c>
      <c r="J140" s="405">
        <v>50.041521148622429</v>
      </c>
      <c r="K140" s="405">
        <v>50.066246056782333</v>
      </c>
      <c r="L140" s="404">
        <v>50.231879699248118</v>
      </c>
      <c r="M140" s="405">
        <v>49.736334405144696</v>
      </c>
      <c r="N140" s="405">
        <v>50.125666412795127</v>
      </c>
    </row>
    <row r="141" spans="1:14">
      <c r="A141" s="449"/>
      <c r="B141" s="559" t="s">
        <v>115</v>
      </c>
      <c r="C141" s="404">
        <v>50</v>
      </c>
      <c r="D141" s="405">
        <v>49.533428844317093</v>
      </c>
      <c r="E141" s="405">
        <v>50.029581887291357</v>
      </c>
      <c r="F141" s="405">
        <v>50.072871179039304</v>
      </c>
      <c r="G141" s="405">
        <v>50.065776111241313</v>
      </c>
      <c r="H141" s="405">
        <v>49.880882558301913</v>
      </c>
      <c r="I141" s="405">
        <v>50.260320134793595</v>
      </c>
      <c r="J141" s="405">
        <v>49.965269693441989</v>
      </c>
      <c r="K141" s="405">
        <v>50.046421663442942</v>
      </c>
      <c r="L141" s="404">
        <v>50.499266647110588</v>
      </c>
      <c r="M141" s="405">
        <v>50.59191374663073</v>
      </c>
      <c r="N141" s="405">
        <v>50.326235389422521</v>
      </c>
    </row>
    <row r="142" spans="1:14">
      <c r="A142" s="449"/>
      <c r="B142" s="560" t="s">
        <v>116</v>
      </c>
      <c r="C142" s="406">
        <v>50</v>
      </c>
      <c r="D142" s="407">
        <v>49.920022608449905</v>
      </c>
      <c r="E142" s="407">
        <v>50.196209587513934</v>
      </c>
      <c r="F142" s="407">
        <v>50.496188496188495</v>
      </c>
      <c r="G142" s="407">
        <v>50.137111517367458</v>
      </c>
      <c r="H142" s="407">
        <v>50.111614928496685</v>
      </c>
      <c r="I142" s="407">
        <v>50.300599700149924</v>
      </c>
      <c r="J142" s="407">
        <v>49.966627861854867</v>
      </c>
      <c r="K142" s="407">
        <v>50.092233009708735</v>
      </c>
      <c r="L142" s="406">
        <v>50.543168168168165</v>
      </c>
      <c r="M142" s="407">
        <v>50.077448747152623</v>
      </c>
      <c r="N142" s="407">
        <v>50.093379701184958</v>
      </c>
    </row>
    <row r="143" spans="1:14" ht="14.5">
      <c r="A143" s="471">
        <v>2021</v>
      </c>
      <c r="B143" s="559" t="s">
        <v>105</v>
      </c>
      <c r="C143" s="404">
        <v>50</v>
      </c>
      <c r="D143" s="405">
        <v>50.134841235319705</v>
      </c>
      <c r="E143" s="405">
        <v>50.196864111498257</v>
      </c>
      <c r="F143" s="405">
        <v>50.408931185944361</v>
      </c>
      <c r="G143" s="405">
        <v>50.055631973101022</v>
      </c>
      <c r="H143" s="405">
        <v>49.997113476456789</v>
      </c>
      <c r="I143" s="405">
        <v>50.637346791636624</v>
      </c>
      <c r="J143" s="405">
        <v>50.043655650754793</v>
      </c>
      <c r="K143" s="405">
        <v>50.154093097913325</v>
      </c>
      <c r="L143" s="404">
        <v>50.075524044389645</v>
      </c>
      <c r="M143" s="403">
        <v>49.386792452830186</v>
      </c>
      <c r="N143" s="403">
        <v>49.949296159628261</v>
      </c>
    </row>
    <row r="144" spans="1:14">
      <c r="A144" s="449"/>
      <c r="B144" s="559" t="s">
        <v>106</v>
      </c>
      <c r="C144" s="404">
        <v>50</v>
      </c>
      <c r="D144" s="405">
        <v>50.050371036653921</v>
      </c>
      <c r="E144" s="405">
        <v>50.06338526912181</v>
      </c>
      <c r="F144" s="405">
        <v>50.163953658894265</v>
      </c>
      <c r="G144" s="405">
        <v>50.189800534649393</v>
      </c>
      <c r="H144" s="405">
        <v>50.06254050550875</v>
      </c>
      <c r="I144" s="405">
        <v>50.443897637795274</v>
      </c>
      <c r="J144" s="405">
        <v>50.08159934720522</v>
      </c>
      <c r="K144" s="405">
        <v>49.958083832335326</v>
      </c>
      <c r="L144" s="404">
        <v>49.826148409893996</v>
      </c>
      <c r="M144" s="405">
        <v>50.066091954022987</v>
      </c>
      <c r="N144" s="405">
        <v>50.179185076092296</v>
      </c>
    </row>
    <row r="145" spans="1:14">
      <c r="A145" s="449"/>
      <c r="B145" s="559" t="s">
        <v>107</v>
      </c>
      <c r="C145" s="404">
        <v>50</v>
      </c>
      <c r="D145" s="405">
        <v>49.883330791520514</v>
      </c>
      <c r="E145" s="405">
        <v>50.14031684448755</v>
      </c>
      <c r="F145" s="405">
        <v>50.340422495004283</v>
      </c>
      <c r="G145" s="405">
        <v>49.881142451658683</v>
      </c>
      <c r="H145" s="405">
        <v>49.903977069150841</v>
      </c>
      <c r="I145" s="405">
        <v>50.549165120593692</v>
      </c>
      <c r="J145" s="405">
        <v>50</v>
      </c>
      <c r="K145" s="405">
        <v>50.059390048154093</v>
      </c>
      <c r="L145" s="404">
        <v>50.034731774415405</v>
      </c>
      <c r="M145" s="405">
        <v>50.304464285714289</v>
      </c>
      <c r="N145" s="405">
        <v>50.238479989900263</v>
      </c>
    </row>
    <row r="146" spans="1:14">
      <c r="A146" s="449"/>
      <c r="B146" s="559" t="s">
        <v>108</v>
      </c>
      <c r="C146" s="404">
        <v>50</v>
      </c>
      <c r="D146" s="405">
        <v>49.95602629656684</v>
      </c>
      <c r="E146" s="405">
        <v>50.1622085048011</v>
      </c>
      <c r="F146" s="405">
        <v>49.863331048663468</v>
      </c>
      <c r="G146" s="405">
        <v>50.299699061780849</v>
      </c>
      <c r="H146" s="405">
        <v>50.672701949860723</v>
      </c>
      <c r="I146" s="405">
        <v>50.385425812115891</v>
      </c>
      <c r="J146" s="405">
        <v>50.103466114847386</v>
      </c>
      <c r="K146" s="405">
        <v>50.008250825082506</v>
      </c>
      <c r="L146" s="404">
        <v>49.80296937828642</v>
      </c>
      <c r="M146" s="405">
        <v>49.647441104792854</v>
      </c>
      <c r="N146" s="405">
        <v>49.761113419194018</v>
      </c>
    </row>
    <row r="147" spans="1:14">
      <c r="A147" s="449"/>
      <c r="B147" s="559" t="s">
        <v>109</v>
      </c>
      <c r="C147" s="404">
        <v>50</v>
      </c>
      <c r="D147" s="405">
        <v>50.153031465848045</v>
      </c>
      <c r="E147" s="405">
        <v>50.162264150943393</v>
      </c>
      <c r="F147" s="405">
        <v>50.001576458223859</v>
      </c>
      <c r="G147" s="405">
        <v>50.193207240187107</v>
      </c>
      <c r="H147" s="405">
        <v>50</v>
      </c>
      <c r="I147" s="405">
        <v>50.424111948331536</v>
      </c>
      <c r="J147" s="405">
        <v>50.009791921664629</v>
      </c>
      <c r="K147" s="405">
        <v>50.073717948717949</v>
      </c>
      <c r="L147" s="404">
        <v>50.222014925373138</v>
      </c>
      <c r="M147" s="405">
        <v>49.607615894039732</v>
      </c>
      <c r="N147" s="405">
        <v>50.448789846517116</v>
      </c>
    </row>
    <row r="148" spans="1:14">
      <c r="A148" s="449"/>
      <c r="B148" s="559" t="s">
        <v>110</v>
      </c>
      <c r="C148" s="404">
        <v>50</v>
      </c>
      <c r="D148" s="405">
        <v>49.974937343358398</v>
      </c>
      <c r="E148" s="405">
        <v>50.208586762075136</v>
      </c>
      <c r="F148" s="405">
        <v>50.209716141787879</v>
      </c>
      <c r="G148" s="405">
        <v>49.937513513513515</v>
      </c>
      <c r="H148" s="405">
        <v>50.015608371763037</v>
      </c>
      <c r="I148" s="405">
        <v>50.588832487309645</v>
      </c>
      <c r="J148" s="405">
        <v>50.07874337005304</v>
      </c>
      <c r="K148" s="405">
        <v>49.99184339314845</v>
      </c>
      <c r="L148" s="404">
        <v>50.342471530999575</v>
      </c>
      <c r="M148" s="405">
        <v>50.126923076923077</v>
      </c>
      <c r="N148" s="405">
        <v>50.18113088675382</v>
      </c>
    </row>
    <row r="149" spans="1:14">
      <c r="A149" s="449"/>
      <c r="B149" s="559" t="s">
        <v>117</v>
      </c>
      <c r="C149" s="404">
        <v>50</v>
      </c>
      <c r="D149" s="405">
        <v>50.208365972113427</v>
      </c>
      <c r="E149" s="405">
        <v>50.053191489361701</v>
      </c>
      <c r="F149" s="405">
        <v>49.957847407615567</v>
      </c>
      <c r="G149" s="405">
        <v>50.144939784491868</v>
      </c>
      <c r="H149" s="405">
        <v>49.976776429809355</v>
      </c>
      <c r="I149" s="405">
        <v>50.460401267159448</v>
      </c>
      <c r="J149" s="405">
        <v>50.34394124847001</v>
      </c>
      <c r="K149" s="405">
        <v>50.014354066985646</v>
      </c>
      <c r="L149" s="404">
        <v>50.202321724709783</v>
      </c>
      <c r="M149" s="405">
        <v>50.424726661059715</v>
      </c>
      <c r="N149" s="405">
        <v>50.256980283181157</v>
      </c>
    </row>
    <row r="150" spans="1:14">
      <c r="A150" s="449"/>
      <c r="B150" s="559" t="s">
        <v>112</v>
      </c>
      <c r="C150" s="404">
        <v>50</v>
      </c>
      <c r="D150" s="405">
        <v>49.650560494781601</v>
      </c>
      <c r="E150" s="405">
        <v>50.059410054009142</v>
      </c>
      <c r="F150" s="405">
        <v>50.084565142660708</v>
      </c>
      <c r="G150" s="405">
        <v>50.010785241248819</v>
      </c>
      <c r="H150" s="405">
        <v>50.113247863247864</v>
      </c>
      <c r="I150" s="405">
        <v>50.423442449841602</v>
      </c>
      <c r="J150" s="405">
        <v>50.121920404295643</v>
      </c>
      <c r="K150" s="405">
        <v>49.894563426688634</v>
      </c>
      <c r="L150" s="404">
        <v>49.869023569023568</v>
      </c>
      <c r="M150" s="405">
        <v>50.352534562211979</v>
      </c>
      <c r="N150" s="405">
        <v>50.198318848838866</v>
      </c>
    </row>
    <row r="151" spans="1:14">
      <c r="A151" s="449"/>
      <c r="B151" s="559" t="s">
        <v>113</v>
      </c>
      <c r="C151" s="404">
        <v>50</v>
      </c>
      <c r="D151" s="405">
        <v>49.407535729753143</v>
      </c>
      <c r="E151" s="405">
        <v>49.905640297978003</v>
      </c>
      <c r="F151" s="405">
        <v>50.146165994034043</v>
      </c>
      <c r="G151" s="405">
        <v>49.85071912712845</v>
      </c>
      <c r="H151" s="405">
        <v>50.05641025641026</v>
      </c>
      <c r="I151" s="405">
        <v>50.147126436781612</v>
      </c>
      <c r="J151" s="405">
        <v>49.432417274256871</v>
      </c>
      <c r="K151" s="405">
        <v>49.985123966942147</v>
      </c>
      <c r="L151" s="404">
        <v>49.961082910321487</v>
      </c>
      <c r="M151" s="405">
        <v>49.545454545454547</v>
      </c>
      <c r="N151" s="405">
        <v>49.852246896310547</v>
      </c>
    </row>
    <row r="152" spans="1:14">
      <c r="A152" s="449"/>
      <c r="B152" s="559" t="s">
        <v>114</v>
      </c>
      <c r="C152" s="404">
        <v>50</v>
      </c>
      <c r="D152" s="405">
        <v>49.685888550041582</v>
      </c>
      <c r="E152" s="405">
        <v>49.93508655126498</v>
      </c>
      <c r="F152" s="405">
        <v>50.147145877378435</v>
      </c>
      <c r="G152" s="405">
        <v>50.015982503364739</v>
      </c>
      <c r="H152" s="405">
        <v>50.555555555555557</v>
      </c>
      <c r="I152" s="405">
        <v>50.061446977205151</v>
      </c>
      <c r="J152" s="405">
        <v>49.420253164556961</v>
      </c>
      <c r="K152" s="405">
        <v>49.891651865008882</v>
      </c>
      <c r="L152" s="404">
        <v>50.310522696011006</v>
      </c>
      <c r="M152" s="405">
        <v>49.97126436781609</v>
      </c>
      <c r="N152" s="405">
        <v>49.986016208485616</v>
      </c>
    </row>
    <row r="153" spans="1:14">
      <c r="A153" s="449"/>
      <c r="B153" s="559" t="s">
        <v>115</v>
      </c>
      <c r="C153" s="404">
        <v>50</v>
      </c>
      <c r="D153" s="405">
        <v>49.844913476664921</v>
      </c>
      <c r="E153" s="405">
        <v>49.929323819232074</v>
      </c>
      <c r="F153" s="405">
        <v>49.988495879120876</v>
      </c>
      <c r="G153" s="405">
        <v>49.772040915733072</v>
      </c>
      <c r="H153" s="405">
        <v>50.555555555555557</v>
      </c>
      <c r="I153" s="405">
        <v>50.385750962772782</v>
      </c>
      <c r="J153" s="405">
        <v>49.880379746835445</v>
      </c>
      <c r="K153" s="405">
        <v>50.321839080459768</v>
      </c>
      <c r="L153" s="404">
        <v>50.236373748609566</v>
      </c>
      <c r="M153" s="405">
        <v>50.49645390070922</v>
      </c>
      <c r="N153" s="405">
        <v>50.112612612612615</v>
      </c>
    </row>
    <row r="154" spans="1:14">
      <c r="A154" s="451"/>
      <c r="B154" s="560" t="s">
        <v>116</v>
      </c>
      <c r="C154" s="406">
        <v>50</v>
      </c>
      <c r="D154" s="407">
        <v>49.945053510832679</v>
      </c>
      <c r="E154" s="407">
        <v>49.97126061397779</v>
      </c>
      <c r="F154" s="407">
        <v>50.404745854118914</v>
      </c>
      <c r="G154" s="407">
        <v>49.84553628773282</v>
      </c>
      <c r="H154" s="409">
        <v>50</v>
      </c>
      <c r="I154" s="407">
        <v>50.397277227722775</v>
      </c>
      <c r="J154" s="409">
        <v>50</v>
      </c>
      <c r="K154" s="407">
        <v>50.032646048109967</v>
      </c>
      <c r="L154" s="407">
        <v>50.222846441947567</v>
      </c>
      <c r="M154" s="407">
        <v>50.259955752212392</v>
      </c>
      <c r="N154" s="407">
        <v>49.833688051079356</v>
      </c>
    </row>
    <row r="155" spans="1:14" ht="14.5">
      <c r="A155" s="471">
        <v>2022</v>
      </c>
      <c r="B155" s="577" t="s">
        <v>105</v>
      </c>
      <c r="C155" s="403">
        <v>50</v>
      </c>
      <c r="D155" s="403">
        <v>49.817440326256445</v>
      </c>
      <c r="E155" s="403">
        <v>50.024397500743824</v>
      </c>
      <c r="F155" s="403">
        <v>50.194513067221429</v>
      </c>
      <c r="G155" s="403">
        <v>50.193201133144477</v>
      </c>
      <c r="H155" s="403">
        <v>50</v>
      </c>
      <c r="I155" s="403">
        <v>50.078060805258836</v>
      </c>
      <c r="J155" s="403">
        <v>50</v>
      </c>
      <c r="K155" s="403">
        <v>50.027642276422768</v>
      </c>
      <c r="L155" s="403">
        <v>50.203630363036304</v>
      </c>
      <c r="M155" s="403">
        <v>50.191430545957154</v>
      </c>
      <c r="N155" s="403">
        <v>50.384873083365548</v>
      </c>
    </row>
    <row r="156" spans="1:14" ht="14.5">
      <c r="A156" s="472"/>
      <c r="B156" s="578" t="s">
        <v>106</v>
      </c>
      <c r="C156" s="405">
        <v>50</v>
      </c>
      <c r="D156" s="405">
        <v>49.752423654871549</v>
      </c>
      <c r="E156" s="405">
        <v>50.07652752571083</v>
      </c>
      <c r="F156" s="405">
        <v>50.348869876133314</v>
      </c>
      <c r="G156" s="405">
        <v>50.033056478405314</v>
      </c>
      <c r="H156" s="405">
        <v>50.017536867277798</v>
      </c>
      <c r="I156" s="405">
        <v>50.114868804664724</v>
      </c>
      <c r="J156" s="405">
        <v>50.083629893238431</v>
      </c>
      <c r="K156" s="405">
        <v>50.508090614886733</v>
      </c>
      <c r="L156" s="405">
        <v>49.964163372859026</v>
      </c>
      <c r="M156" s="405">
        <v>49.876330876330876</v>
      </c>
      <c r="N156" s="405">
        <v>50.201613936211089</v>
      </c>
    </row>
    <row r="157" spans="1:14" ht="14.5">
      <c r="A157" s="472"/>
      <c r="B157" s="578" t="s">
        <v>107</v>
      </c>
      <c r="C157" s="405">
        <v>50</v>
      </c>
      <c r="D157" s="405">
        <v>50.184233076263922</v>
      </c>
      <c r="E157" s="405">
        <v>50.031448355452973</v>
      </c>
      <c r="F157" s="405">
        <v>50.33085007316749</v>
      </c>
      <c r="G157" s="405">
        <v>49.881739697019057</v>
      </c>
      <c r="H157" s="405">
        <v>49.99433333333333</v>
      </c>
      <c r="I157" s="405">
        <v>50.032282282282281</v>
      </c>
      <c r="J157" s="405">
        <v>50.07384341637011</v>
      </c>
      <c r="K157" s="405">
        <v>50.018644067796608</v>
      </c>
      <c r="L157" s="405">
        <v>49.690546727713439</v>
      </c>
      <c r="M157" s="405">
        <v>49.986562150055988</v>
      </c>
      <c r="N157" s="405">
        <v>50.186558261949905</v>
      </c>
    </row>
    <row r="158" spans="1:14" ht="14.5">
      <c r="A158" s="472"/>
      <c r="B158" s="578" t="s">
        <v>108</v>
      </c>
      <c r="C158" s="405">
        <v>50</v>
      </c>
      <c r="D158" s="405">
        <v>49.86063508064516</v>
      </c>
      <c r="E158" s="405">
        <v>50.171124954195676</v>
      </c>
      <c r="F158" s="405">
        <v>49.802069688236834</v>
      </c>
      <c r="G158" s="405">
        <v>50.041887740854513</v>
      </c>
      <c r="H158" s="405">
        <v>50.015756687431292</v>
      </c>
      <c r="I158" s="405">
        <v>50.110787172011662</v>
      </c>
      <c r="J158" s="405">
        <v>50.02491103202847</v>
      </c>
      <c r="K158" s="405">
        <v>50.008591065292094</v>
      </c>
      <c r="L158" s="405">
        <v>50.173440893577414</v>
      </c>
      <c r="M158" s="405">
        <v>50.385220125786162</v>
      </c>
      <c r="N158" s="405">
        <v>50.40729525374595</v>
      </c>
    </row>
    <row r="159" spans="1:14" ht="14.5">
      <c r="A159" s="472"/>
      <c r="B159" s="578" t="s">
        <v>109</v>
      </c>
      <c r="C159" s="405">
        <v>50</v>
      </c>
      <c r="D159" s="405">
        <v>50.763976695177888</v>
      </c>
      <c r="E159" s="405">
        <v>49.980519480519483</v>
      </c>
      <c r="F159" s="405">
        <v>50.145438350935237</v>
      </c>
      <c r="G159" s="405">
        <v>49.913870581186337</v>
      </c>
      <c r="H159" s="405">
        <v>50.061436672967865</v>
      </c>
      <c r="I159" s="405">
        <v>50.055555555555557</v>
      </c>
      <c r="J159" s="405">
        <v>50.059163701067618</v>
      </c>
      <c r="K159" s="405">
        <v>50.028192371475953</v>
      </c>
      <c r="L159" s="405">
        <v>49.984900662251654</v>
      </c>
      <c r="M159" s="405">
        <v>50.598673300165835</v>
      </c>
      <c r="N159" s="405">
        <v>50.318047050235869</v>
      </c>
    </row>
    <row r="160" spans="1:14" ht="14.5">
      <c r="A160" s="472"/>
      <c r="B160" s="578" t="s">
        <v>110</v>
      </c>
      <c r="C160" s="405">
        <v>50</v>
      </c>
      <c r="D160" s="405">
        <v>50.570873786407766</v>
      </c>
      <c r="E160" s="405">
        <v>50.057856093979439</v>
      </c>
      <c r="F160" s="405">
        <v>50.322691427117782</v>
      </c>
      <c r="G160" s="405">
        <v>50.215701823949246</v>
      </c>
      <c r="H160" s="405">
        <v>50</v>
      </c>
      <c r="I160" s="405">
        <v>50.115044247787608</v>
      </c>
      <c r="J160" s="405">
        <v>50.085409252669038</v>
      </c>
      <c r="K160" s="405">
        <v>50.024640657084191</v>
      </c>
      <c r="L160" s="405">
        <v>50.150730411686588</v>
      </c>
      <c r="M160" s="405">
        <v>50.224341507720254</v>
      </c>
      <c r="N160" s="405">
        <v>50.228786543336021</v>
      </c>
    </row>
    <row r="161" spans="1:14" ht="14.5">
      <c r="A161" s="472"/>
      <c r="B161" s="578" t="s">
        <v>117</v>
      </c>
      <c r="C161" s="405">
        <v>50</v>
      </c>
      <c r="D161" s="405">
        <v>50.66532258064516</v>
      </c>
      <c r="E161" s="405">
        <v>50.015252621544327</v>
      </c>
      <c r="F161" s="405">
        <v>49.904456743373146</v>
      </c>
      <c r="G161" s="405">
        <v>50.095589414595025</v>
      </c>
      <c r="H161" s="405">
        <v>50.18395721925134</v>
      </c>
      <c r="I161" s="405">
        <v>50.081560283687942</v>
      </c>
      <c r="J161" s="405">
        <v>50.156705539358597</v>
      </c>
      <c r="K161" s="405">
        <v>50.046025104602514</v>
      </c>
      <c r="L161" s="405">
        <v>50.030728476821189</v>
      </c>
      <c r="M161" s="405">
        <v>50.487483530961789</v>
      </c>
      <c r="N161" s="405">
        <v>50.153462397266757</v>
      </c>
    </row>
    <row r="162" spans="1:14" ht="14.5">
      <c r="A162" s="472"/>
      <c r="B162" s="578" t="s">
        <v>112</v>
      </c>
      <c r="C162" s="405">
        <v>50</v>
      </c>
      <c r="D162" s="405">
        <v>49.996839356877835</v>
      </c>
      <c r="E162" s="405">
        <v>50.175893100627214</v>
      </c>
      <c r="F162" s="405">
        <v>49.909560723514211</v>
      </c>
      <c r="G162" s="405">
        <v>50.193040780141843</v>
      </c>
      <c r="H162" s="405">
        <v>50.080724876441515</v>
      </c>
      <c r="I162" s="405">
        <v>50.063854715875806</v>
      </c>
      <c r="J162" s="405">
        <v>50.092526690391459</v>
      </c>
      <c r="K162" s="405">
        <v>50.173333333333332</v>
      </c>
      <c r="L162" s="405">
        <v>49.899210229409555</v>
      </c>
      <c r="M162" s="405">
        <v>49.71756487025948</v>
      </c>
      <c r="N162" s="405">
        <v>50.388356409817703</v>
      </c>
    </row>
    <row r="163" spans="1:14" ht="14.5">
      <c r="A163" s="472"/>
      <c r="B163" s="578" t="s">
        <v>113</v>
      </c>
      <c r="C163" s="405">
        <v>50</v>
      </c>
      <c r="D163" s="405">
        <v>50.113299232736573</v>
      </c>
      <c r="E163" s="405">
        <v>50.132466814159294</v>
      </c>
      <c r="F163" s="405">
        <v>49.809648581997536</v>
      </c>
      <c r="G163" s="405">
        <v>49.873408564814817</v>
      </c>
      <c r="H163" s="405">
        <v>49.920410783055196</v>
      </c>
      <c r="I163" s="405">
        <v>50.014860681114548</v>
      </c>
      <c r="J163" s="405">
        <v>50.092526690391459</v>
      </c>
      <c r="K163" s="405">
        <v>50.23488773747841</v>
      </c>
      <c r="L163" s="405">
        <v>50.39473684210526</v>
      </c>
      <c r="M163" s="405">
        <v>49.929315476190474</v>
      </c>
      <c r="N163" s="405">
        <v>50.299290591134451</v>
      </c>
    </row>
    <row r="164" spans="1:14" ht="14.5">
      <c r="A164" s="472"/>
      <c r="B164" s="578" t="s">
        <v>114</v>
      </c>
      <c r="C164" s="405">
        <v>50</v>
      </c>
      <c r="D164" s="405">
        <v>50.384823151125403</v>
      </c>
      <c r="E164" s="405">
        <v>50.048356424884545</v>
      </c>
      <c r="F164" s="405">
        <v>49.662677976370794</v>
      </c>
      <c r="G164" s="405">
        <v>49.80630105017503</v>
      </c>
      <c r="H164" s="405">
        <v>50.191540303272149</v>
      </c>
      <c r="I164" s="405">
        <v>50.390660592255124</v>
      </c>
      <c r="J164" s="405">
        <v>50.090630975143405</v>
      </c>
      <c r="K164" s="405">
        <v>49.9979035639413</v>
      </c>
      <c r="L164" s="405">
        <v>50.28523729254951</v>
      </c>
      <c r="M164" s="405">
        <v>50.109511290305043</v>
      </c>
      <c r="N164" s="405">
        <v>50.003011606207906</v>
      </c>
    </row>
    <row r="165" spans="1:14" ht="14.5">
      <c r="A165" s="472"/>
      <c r="B165" s="578" t="s">
        <v>115</v>
      </c>
      <c r="C165" s="405">
        <v>50</v>
      </c>
      <c r="D165" s="405">
        <v>50.126222336592896</v>
      </c>
      <c r="E165" s="405">
        <v>49.995859213250519</v>
      </c>
      <c r="F165" s="405">
        <v>49.683387346766239</v>
      </c>
      <c r="G165" s="405">
        <v>50.04812931347621</v>
      </c>
      <c r="H165" s="405">
        <v>49.503311258278146</v>
      </c>
      <c r="I165" s="405">
        <v>50.206395348837212</v>
      </c>
      <c r="J165" s="405">
        <v>50.083206106870229</v>
      </c>
      <c r="K165" s="405">
        <v>50</v>
      </c>
      <c r="L165" s="405">
        <v>50.095868229212591</v>
      </c>
      <c r="M165" s="405">
        <v>50.0702432186933</v>
      </c>
      <c r="N165" s="405">
        <v>50.030649709740956</v>
      </c>
    </row>
    <row r="166" spans="1:14" ht="14.5">
      <c r="A166" s="473"/>
      <c r="B166" s="576" t="s">
        <v>116</v>
      </c>
      <c r="C166" s="407">
        <v>50</v>
      </c>
      <c r="D166" s="407">
        <v>49.990207914151576</v>
      </c>
      <c r="E166" s="407">
        <v>50.019402525408069</v>
      </c>
      <c r="F166" s="407">
        <v>49.836491228070173</v>
      </c>
      <c r="G166" s="407">
        <v>50.060746962651869</v>
      </c>
      <c r="H166" s="407">
        <v>49.951884522854854</v>
      </c>
      <c r="I166" s="407">
        <v>50.079975947083582</v>
      </c>
      <c r="J166" s="407">
        <v>50.106106870229006</v>
      </c>
      <c r="K166" s="407">
        <v>50.177700348432055</v>
      </c>
      <c r="L166" s="407">
        <v>50.124909498550615</v>
      </c>
      <c r="M166" s="407">
        <v>49.952459016393441</v>
      </c>
      <c r="N166" s="407">
        <v>50.218340529630829</v>
      </c>
    </row>
    <row r="167" spans="1:14" ht="14.5">
      <c r="A167" s="471">
        <v>2023</v>
      </c>
      <c r="B167" s="577" t="s">
        <v>105</v>
      </c>
      <c r="C167" s="403">
        <v>50</v>
      </c>
      <c r="D167" s="403">
        <v>49.946688409433015</v>
      </c>
      <c r="E167" s="403">
        <v>50.027712064886785</v>
      </c>
      <c r="F167" s="403">
        <v>49.75332416322788</v>
      </c>
      <c r="G167" s="403">
        <v>49.975591985428053</v>
      </c>
      <c r="H167" s="403">
        <v>50</v>
      </c>
      <c r="I167" s="403">
        <v>50.145768993205685</v>
      </c>
      <c r="J167" s="403">
        <v>50.092862624712204</v>
      </c>
      <c r="K167" s="403">
        <v>50.267123287671232</v>
      </c>
      <c r="L167" s="403">
        <v>50.25690906665217</v>
      </c>
      <c r="M167" s="403">
        <v>49.856689622221573</v>
      </c>
      <c r="N167" s="403">
        <v>49.921565475796207</v>
      </c>
    </row>
    <row r="168" spans="1:14" ht="14.5">
      <c r="A168" s="472"/>
      <c r="B168" s="578" t="s">
        <v>106</v>
      </c>
      <c r="C168" s="405">
        <v>50</v>
      </c>
      <c r="D168" s="405">
        <v>50.127689192609466</v>
      </c>
      <c r="E168" s="405">
        <v>50.147420147420149</v>
      </c>
      <c r="F168" s="405">
        <v>49.834985422740523</v>
      </c>
      <c r="G168" s="405">
        <v>50.07672233820459</v>
      </c>
      <c r="H168" s="405">
        <v>50.040675364543361</v>
      </c>
      <c r="I168" s="405">
        <v>50.04635352286774</v>
      </c>
      <c r="J168" s="405">
        <v>50.08365310821182</v>
      </c>
      <c r="K168" s="405">
        <v>50.184027777777779</v>
      </c>
      <c r="L168" s="405">
        <v>49.989038293342219</v>
      </c>
      <c r="M168" s="405">
        <v>50.000609252817561</v>
      </c>
      <c r="N168" s="405">
        <v>50.477165158698121</v>
      </c>
    </row>
    <row r="169" spans="1:14" ht="14.5">
      <c r="A169" s="472"/>
      <c r="B169" s="578" t="s">
        <v>107</v>
      </c>
      <c r="C169" s="405">
        <v>50</v>
      </c>
      <c r="D169" s="405">
        <v>50.386226793778221</v>
      </c>
      <c r="E169" s="405">
        <v>50.056358807907941</v>
      </c>
      <c r="F169" s="405">
        <v>50.234213212775266</v>
      </c>
      <c r="G169" s="405">
        <v>50.157783268619838</v>
      </c>
      <c r="H169" s="405">
        <v>50.096396005210593</v>
      </c>
      <c r="I169" s="405">
        <v>50.123608670181603</v>
      </c>
      <c r="J169" s="405">
        <v>50.04182655410591</v>
      </c>
      <c r="K169" s="405">
        <v>50.020491803278688</v>
      </c>
      <c r="L169" s="405">
        <v>50.012223828877239</v>
      </c>
      <c r="M169" s="405">
        <v>50.014942846387015</v>
      </c>
      <c r="N169" s="405">
        <v>50.399158051796555</v>
      </c>
    </row>
    <row r="170" spans="1:14" ht="14.5">
      <c r="A170" s="472"/>
      <c r="B170" s="578" t="s">
        <v>108</v>
      </c>
      <c r="C170" s="405">
        <v>50</v>
      </c>
      <c r="D170" s="405">
        <v>50.129508625196024</v>
      </c>
      <c r="E170" s="405">
        <v>50.042315504400811</v>
      </c>
      <c r="F170" s="405">
        <v>50.380845070422538</v>
      </c>
      <c r="G170" s="405">
        <v>49.988351570773034</v>
      </c>
      <c r="H170" s="405">
        <v>49.975369458128078</v>
      </c>
      <c r="I170" s="405">
        <v>50.080023710729108</v>
      </c>
      <c r="J170" s="405">
        <v>50.025326170376054</v>
      </c>
      <c r="K170" s="405">
        <v>50.057835820895519</v>
      </c>
      <c r="L170" s="405">
        <v>49.908271266170132</v>
      </c>
      <c r="M170" s="405">
        <v>49.800603702173596</v>
      </c>
      <c r="N170" s="405">
        <v>50.281550162439117</v>
      </c>
    </row>
    <row r="171" spans="1:14" ht="14.5">
      <c r="A171" s="472"/>
      <c r="B171" s="578" t="s">
        <v>109</v>
      </c>
      <c r="C171" s="405">
        <v>50</v>
      </c>
      <c r="D171" s="405">
        <v>50.095225534159852</v>
      </c>
      <c r="E171" s="405">
        <v>49.974078341013822</v>
      </c>
      <c r="F171" s="405">
        <v>50.068005018820578</v>
      </c>
      <c r="G171" s="405">
        <v>49.911439114391143</v>
      </c>
      <c r="H171" s="405">
        <v>50</v>
      </c>
      <c r="I171" s="405">
        <v>50.007798440311937</v>
      </c>
      <c r="J171" s="618">
        <v>50.076362240982348</v>
      </c>
      <c r="K171" s="405">
        <v>50.186471663619741</v>
      </c>
      <c r="L171" s="405">
        <v>50.110748232062996</v>
      </c>
      <c r="M171" s="405">
        <v>49.969764543296471</v>
      </c>
      <c r="N171" s="405">
        <v>50.057003387663102</v>
      </c>
    </row>
    <row r="172" spans="1:14" ht="14.5">
      <c r="A172" s="472"/>
      <c r="B172" s="578" t="s">
        <v>110</v>
      </c>
      <c r="C172" s="405">
        <v>50</v>
      </c>
      <c r="D172" s="405">
        <v>50.115172067319769</v>
      </c>
      <c r="E172" s="405">
        <v>50.07109737248841</v>
      </c>
      <c r="F172" s="405">
        <v>50.107582631237847</v>
      </c>
      <c r="G172" s="405">
        <v>49.877532396422701</v>
      </c>
      <c r="H172" s="405">
        <v>50.222668004012036</v>
      </c>
      <c r="I172" s="405">
        <v>50.092603728202043</v>
      </c>
      <c r="J172" s="618">
        <v>50.730237912509594</v>
      </c>
      <c r="K172" s="405">
        <v>50.231833910034602</v>
      </c>
      <c r="L172" s="405">
        <v>50.501774772983289</v>
      </c>
      <c r="M172" s="405">
        <v>49.810976994648065</v>
      </c>
      <c r="N172" s="405">
        <v>50.121940111579185</v>
      </c>
    </row>
    <row r="173" spans="1:14" ht="14.5">
      <c r="A173" s="472"/>
      <c r="B173" s="578" t="s">
        <v>117</v>
      </c>
      <c r="C173" s="405">
        <v>50</v>
      </c>
      <c r="D173" s="405">
        <v>49.851646937725164</v>
      </c>
      <c r="E173" s="405">
        <v>50.076570117579578</v>
      </c>
      <c r="F173" s="405">
        <v>50.35024906600249</v>
      </c>
      <c r="G173" s="405">
        <v>50.224952741020793</v>
      </c>
      <c r="H173" s="405">
        <v>50.184150251946861</v>
      </c>
      <c r="I173" s="405">
        <v>50.016534391534393</v>
      </c>
      <c r="J173" s="618">
        <v>50.023023791250957</v>
      </c>
      <c r="K173" s="405">
        <v>50.030360531309299</v>
      </c>
      <c r="L173" s="405">
        <v>50.223913850724102</v>
      </c>
      <c r="M173" s="405">
        <v>49.633916618402438</v>
      </c>
      <c r="N173" s="405">
        <v>50.24081686778942</v>
      </c>
    </row>
    <row r="174" spans="1:14" ht="14.5">
      <c r="A174" s="472"/>
      <c r="B174" s="578" t="s">
        <v>112</v>
      </c>
      <c r="C174" s="405">
        <v>50</v>
      </c>
      <c r="D174" s="405">
        <v>50.066027397260271</v>
      </c>
      <c r="E174" s="405">
        <v>50.021233275159979</v>
      </c>
      <c r="F174" s="405">
        <v>49.806558280518047</v>
      </c>
      <c r="G174" s="405">
        <v>49.971508969398521</v>
      </c>
      <c r="H174" s="405">
        <v>50.052859202306585</v>
      </c>
      <c r="I174" s="405">
        <v>50.070024570024572</v>
      </c>
      <c r="J174" s="618">
        <v>50.051036070606294</v>
      </c>
      <c r="K174" s="405">
        <v>50.003460207612456</v>
      </c>
      <c r="L174" s="405">
        <v>50.003282604207456</v>
      </c>
      <c r="M174" s="405">
        <v>49.994705385784229</v>
      </c>
      <c r="N174" s="405">
        <v>50.43636588075546</v>
      </c>
    </row>
    <row r="175" spans="1:14" ht="14.5">
      <c r="A175" s="472"/>
      <c r="B175" s="578" t="s">
        <v>113</v>
      </c>
      <c r="C175" s="405">
        <v>50</v>
      </c>
      <c r="D175" s="405">
        <v>50.089976517117783</v>
      </c>
      <c r="E175" s="405">
        <v>50.059432933478732</v>
      </c>
      <c r="F175" s="405">
        <v>50.296358543417369</v>
      </c>
      <c r="G175" s="405">
        <v>50.204497834893139</v>
      </c>
      <c r="H175" s="405">
        <v>50</v>
      </c>
      <c r="I175" s="405">
        <v>50.148080438756857</v>
      </c>
      <c r="J175" s="618">
        <v>50.08365310821182</v>
      </c>
      <c r="K175" s="405">
        <v>49.996485061511422</v>
      </c>
      <c r="L175" s="405">
        <v>50.048214285714288</v>
      </c>
      <c r="M175" s="405">
        <v>50.368411108681393</v>
      </c>
      <c r="N175" s="405">
        <v>50.239987449635926</v>
      </c>
    </row>
    <row r="176" spans="1:14" ht="14.5">
      <c r="A176" s="472"/>
      <c r="B176" s="578" t="s">
        <v>114</v>
      </c>
      <c r="C176" s="405">
        <v>50</v>
      </c>
      <c r="D176" s="405">
        <v>50.096688741721856</v>
      </c>
      <c r="E176" s="405">
        <v>50.07479303454182</v>
      </c>
      <c r="F176" s="405">
        <v>49.794341675734493</v>
      </c>
      <c r="G176" s="405">
        <v>50.248932096037706</v>
      </c>
      <c r="H176" s="405">
        <v>49.975674480318446</v>
      </c>
      <c r="I176" s="405">
        <v>50.031966643502429</v>
      </c>
      <c r="J176" s="618">
        <v>50.009677419354837</v>
      </c>
      <c r="K176" s="405">
        <v>49.990566037735846</v>
      </c>
      <c r="L176" s="405">
        <v>49.988823453486006</v>
      </c>
      <c r="M176" s="405">
        <v>50.040592042320895</v>
      </c>
      <c r="N176" s="405">
        <v>50.237734714971452</v>
      </c>
    </row>
    <row r="177" spans="1:14" ht="14.5">
      <c r="A177" s="472"/>
      <c r="B177" s="578" t="s">
        <v>115</v>
      </c>
      <c r="C177" s="405">
        <v>50</v>
      </c>
      <c r="D177" s="405">
        <v>50.158697337813386</v>
      </c>
      <c r="E177" s="405">
        <v>50.115998879237878</v>
      </c>
      <c r="F177" s="405">
        <v>49.75104118463674</v>
      </c>
      <c r="G177" s="405">
        <v>50.101332846448784</v>
      </c>
      <c r="H177" s="405">
        <v>50</v>
      </c>
      <c r="I177" s="405">
        <v>50.020332717190385</v>
      </c>
      <c r="J177" s="618">
        <v>50.014581734458943</v>
      </c>
      <c r="K177" s="405">
        <v>50.031657355679705</v>
      </c>
      <c r="L177" s="405">
        <v>49.92043244735715</v>
      </c>
      <c r="M177" s="405">
        <v>50.124558294467512</v>
      </c>
      <c r="N177" s="405">
        <v>50.160333993138444</v>
      </c>
    </row>
    <row r="178" spans="1:14" ht="14.5">
      <c r="A178" s="473"/>
      <c r="B178" s="576" t="s">
        <v>116</v>
      </c>
      <c r="C178" s="407">
        <v>50</v>
      </c>
      <c r="D178" s="407">
        <v>50.065152021383227</v>
      </c>
      <c r="E178" s="407">
        <v>50.033764772087785</v>
      </c>
      <c r="F178" s="407">
        <v>49.766499642090196</v>
      </c>
      <c r="G178" s="407">
        <v>49.911453320500485</v>
      </c>
      <c r="H178" s="407">
        <v>50.051670378619157</v>
      </c>
      <c r="I178" s="407">
        <v>50.043209876543209</v>
      </c>
      <c r="J178" s="619">
        <v>49.979085979860571</v>
      </c>
      <c r="K178" s="407">
        <v>49.992495309568483</v>
      </c>
      <c r="L178" s="407">
        <v>49.968530400244425</v>
      </c>
      <c r="M178" s="407">
        <v>50.433601996425317</v>
      </c>
      <c r="N178" s="407">
        <v>50.066052251294309</v>
      </c>
    </row>
    <row r="179" spans="1:14" ht="14.5">
      <c r="A179" s="471">
        <v>2024</v>
      </c>
      <c r="B179" s="577" t="s">
        <v>105</v>
      </c>
      <c r="C179" s="403">
        <v>50</v>
      </c>
      <c r="D179" s="403">
        <v>49.975749284914812</v>
      </c>
      <c r="E179" s="403">
        <v>50.098528086512466</v>
      </c>
      <c r="F179" s="403">
        <v>49.799674708593116</v>
      </c>
      <c r="G179" s="403">
        <v>50.320520148613888</v>
      </c>
      <c r="H179" s="403">
        <v>49.950043066322138</v>
      </c>
      <c r="I179" s="403">
        <v>50.182795698924728</v>
      </c>
      <c r="J179" s="627">
        <v>50.068303914044513</v>
      </c>
      <c r="K179" s="403">
        <v>49.992945326278658</v>
      </c>
      <c r="L179" s="403">
        <v>49.910154956229917</v>
      </c>
      <c r="M179" s="403">
        <v>50.15559293374271</v>
      </c>
      <c r="N179" s="403">
        <v>50.257603251569883</v>
      </c>
    </row>
    <row r="180" spans="1:14" ht="14.5">
      <c r="A180" s="472"/>
      <c r="B180" s="578" t="s">
        <v>106</v>
      </c>
      <c r="C180" s="405">
        <v>50</v>
      </c>
      <c r="D180" s="405">
        <v>50</v>
      </c>
      <c r="E180" s="405">
        <v>49.978622327790973</v>
      </c>
      <c r="F180" s="405">
        <v>50.267298821117379</v>
      </c>
      <c r="G180" s="405">
        <v>49.87146795313577</v>
      </c>
      <c r="H180" s="405">
        <v>50.018043684710349</v>
      </c>
      <c r="I180" s="405">
        <v>50.010688836104514</v>
      </c>
      <c r="J180" s="618">
        <v>50.052671466464567</v>
      </c>
      <c r="K180" s="405">
        <v>50.498381877022652</v>
      </c>
      <c r="L180" s="405">
        <v>50.129012345679016</v>
      </c>
      <c r="M180" s="405">
        <v>50.405199746353837</v>
      </c>
      <c r="N180" s="405">
        <v>50.078942698479587</v>
      </c>
    </row>
    <row r="181" spans="1:14" ht="14.5">
      <c r="A181" s="472"/>
      <c r="B181" s="578" t="s">
        <v>107</v>
      </c>
      <c r="C181" s="405">
        <v>50</v>
      </c>
      <c r="D181" s="405">
        <v>49.953965017705762</v>
      </c>
      <c r="E181" s="405">
        <v>50.075600259571708</v>
      </c>
      <c r="F181" s="405">
        <v>49.853544533887302</v>
      </c>
      <c r="G181" s="405">
        <v>50.487496322447782</v>
      </c>
      <c r="H181" s="405">
        <v>50</v>
      </c>
      <c r="I181" s="405">
        <v>50.038329519450798</v>
      </c>
      <c r="J181" s="618">
        <v>50.052671466464567</v>
      </c>
      <c r="K181" s="405">
        <v>50.42258064516129</v>
      </c>
      <c r="L181" s="405">
        <v>49.930844907407405</v>
      </c>
      <c r="M181" s="405">
        <v>50.5311004784689</v>
      </c>
      <c r="N181" s="405">
        <v>50.036427464741593</v>
      </c>
    </row>
    <row r="182" spans="1:14" ht="14.5">
      <c r="A182" s="472"/>
      <c r="B182" s="578" t="s">
        <v>108</v>
      </c>
      <c r="C182" s="405">
        <v>50</v>
      </c>
      <c r="D182" s="405">
        <v>50</v>
      </c>
      <c r="E182" s="405">
        <v>49.970264765784115</v>
      </c>
      <c r="F182" s="405">
        <v>50.063408360128619</v>
      </c>
      <c r="G182" s="405">
        <v>50.005409974640742</v>
      </c>
      <c r="H182" s="405">
        <v>50.603674540682412</v>
      </c>
      <c r="I182" s="405">
        <v>50.010290556900728</v>
      </c>
      <c r="J182" s="618">
        <v>50.415971394517285</v>
      </c>
      <c r="K182" s="405">
        <v>50.400641025641029</v>
      </c>
      <c r="L182" s="405">
        <v>50</v>
      </c>
      <c r="M182" s="405">
        <v>50.574547935858071</v>
      </c>
      <c r="N182" s="405">
        <v>50.075882878855609</v>
      </c>
    </row>
    <row r="183" spans="1:14" ht="14.5">
      <c r="A183" s="472"/>
      <c r="B183" s="578" t="s">
        <v>109</v>
      </c>
      <c r="C183" s="405">
        <v>50</v>
      </c>
      <c r="D183" s="405">
        <v>50.002097315436245</v>
      </c>
      <c r="E183" s="405">
        <v>50.009090909090908</v>
      </c>
      <c r="F183" s="405">
        <v>50.287174721189594</v>
      </c>
      <c r="G183" s="405">
        <v>50.083554817275747</v>
      </c>
      <c r="H183" s="405">
        <v>50</v>
      </c>
      <c r="I183" s="405">
        <v>50.060869565217388</v>
      </c>
      <c r="J183" s="618">
        <v>50.052671466464567</v>
      </c>
      <c r="K183" s="405">
        <v>50.556603773584904</v>
      </c>
      <c r="L183" s="405">
        <v>50.025736345438951</v>
      </c>
      <c r="M183" s="405">
        <v>50.514285714285712</v>
      </c>
      <c r="N183" s="405">
        <v>50.116536109024572</v>
      </c>
    </row>
    <row r="184" spans="1:14" ht="14.5">
      <c r="A184" s="472"/>
      <c r="B184" s="578" t="s">
        <v>110</v>
      </c>
      <c r="C184" s="405">
        <v>50</v>
      </c>
      <c r="D184" s="405">
        <v>50.024382022471912</v>
      </c>
      <c r="E184" s="405">
        <v>49.979394719896973</v>
      </c>
      <c r="F184" s="405">
        <v>49.792499655315041</v>
      </c>
      <c r="G184" s="405">
        <v>50.128337639965544</v>
      </c>
      <c r="H184" s="405">
        <v>50.107611548556427</v>
      </c>
      <c r="I184" s="405">
        <v>50.144078144078144</v>
      </c>
      <c r="J184" s="618">
        <v>50.007199696854869</v>
      </c>
      <c r="K184" s="405">
        <v>50.393081761006286</v>
      </c>
      <c r="L184" s="405">
        <v>50.110907184058732</v>
      </c>
      <c r="M184" s="405">
        <v>50.00332594235033</v>
      </c>
      <c r="N184" s="405">
        <v>50.206873102432795</v>
      </c>
    </row>
    <row r="185" spans="1:14" ht="14.5">
      <c r="A185" s="472"/>
      <c r="B185" s="578" t="s">
        <v>117</v>
      </c>
      <c r="C185" s="405">
        <v>50</v>
      </c>
      <c r="D185" s="405">
        <v>50</v>
      </c>
      <c r="E185" s="405">
        <v>50.03551724137931</v>
      </c>
      <c r="F185" s="405">
        <v>50.086482805583927</v>
      </c>
      <c r="G185" s="405">
        <v>50.013356164383559</v>
      </c>
      <c r="H185" s="405">
        <v>50</v>
      </c>
      <c r="I185" s="405">
        <v>50.029114676173499</v>
      </c>
      <c r="J185" s="618">
        <v>50.092004821213337</v>
      </c>
      <c r="K185" s="405">
        <v>50.082278481012658</v>
      </c>
      <c r="L185" s="405">
        <v>50.0462748727441</v>
      </c>
      <c r="M185" s="405">
        <v>50.00322580645161</v>
      </c>
      <c r="N185" s="405">
        <v>50.064074967530154</v>
      </c>
    </row>
    <row r="186" spans="1:14" ht="14.5">
      <c r="A186" s="472"/>
      <c r="B186" s="578" t="s">
        <v>112</v>
      </c>
      <c r="C186" s="405">
        <v>50</v>
      </c>
      <c r="D186" s="405">
        <v>50</v>
      </c>
      <c r="E186" s="405">
        <v>49.969706532029029</v>
      </c>
      <c r="F186" s="405">
        <v>50.121354827024092</v>
      </c>
      <c r="G186" s="405">
        <v>49.936051628043415</v>
      </c>
      <c r="H186" s="405">
        <v>50.768431001890356</v>
      </c>
      <c r="I186" s="405">
        <v>50.159010600706715</v>
      </c>
      <c r="J186" s="618">
        <v>50.073852295409182</v>
      </c>
      <c r="K186" s="405">
        <v>50</v>
      </c>
      <c r="L186" s="405">
        <v>50.033713561470215</v>
      </c>
      <c r="M186" s="405">
        <v>50</v>
      </c>
      <c r="N186" s="405">
        <v>50.489395563179244</v>
      </c>
    </row>
    <row r="187" spans="1:14" ht="14.5">
      <c r="A187" s="472"/>
      <c r="B187" s="578" t="s">
        <v>113</v>
      </c>
      <c r="C187" s="405">
        <v>50</v>
      </c>
      <c r="D187" s="405">
        <v>50.217989084802689</v>
      </c>
      <c r="E187" s="405">
        <v>50.064627994955863</v>
      </c>
      <c r="F187" s="405">
        <v>50.062224920321746</v>
      </c>
      <c r="G187" s="405">
        <v>49.97330565030402</v>
      </c>
      <c r="H187" s="405">
        <v>50</v>
      </c>
      <c r="I187" s="405">
        <v>50.167899829254409</v>
      </c>
      <c r="J187" s="618">
        <v>50.074327038971475</v>
      </c>
      <c r="K187" s="405">
        <v>50.086350974930362</v>
      </c>
      <c r="L187" s="405">
        <v>50.28128179043744</v>
      </c>
      <c r="M187" s="405">
        <v>50.022621629996898</v>
      </c>
      <c r="N187" s="405">
        <v>50.418125876687981</v>
      </c>
    </row>
    <row r="188" spans="1:14" ht="14.5">
      <c r="A188" s="472"/>
      <c r="B188" s="578" t="s">
        <v>114</v>
      </c>
      <c r="C188" s="405">
        <v>50</v>
      </c>
      <c r="D188" s="405">
        <v>50</v>
      </c>
      <c r="E188" s="405">
        <v>50.085867620751344</v>
      </c>
      <c r="F188" s="405">
        <v>49.795053969121462</v>
      </c>
      <c r="G188" s="405">
        <v>49.765749511351679</v>
      </c>
      <c r="H188" s="405">
        <v>50</v>
      </c>
      <c r="I188" s="405">
        <v>50.006485849056602</v>
      </c>
      <c r="J188" s="618">
        <v>50.084371233427078</v>
      </c>
      <c r="K188" s="405">
        <v>50.346368715083798</v>
      </c>
      <c r="L188" s="405">
        <v>50.025163563160547</v>
      </c>
      <c r="M188" s="405">
        <v>50.040087010565571</v>
      </c>
      <c r="N188" s="405">
        <v>50.381582063933891</v>
      </c>
    </row>
    <row r="189" spans="1:14" ht="14.5">
      <c r="A189" s="472"/>
      <c r="B189" s="578" t="s">
        <v>115</v>
      </c>
      <c r="C189" s="405">
        <v>50</v>
      </c>
      <c r="D189" s="405">
        <v>49.979341442953022</v>
      </c>
      <c r="E189" s="405">
        <v>50.102095111406719</v>
      </c>
      <c r="F189" s="405">
        <v>49.995130078175059</v>
      </c>
      <c r="G189" s="405">
        <v>49.978616532721013</v>
      </c>
      <c r="H189" s="405">
        <v>50.603674540682412</v>
      </c>
      <c r="I189" s="405">
        <v>50.069726390114738</v>
      </c>
      <c r="J189" s="618">
        <v>50.075819672131146</v>
      </c>
      <c r="K189" s="405">
        <v>50.28059701492537</v>
      </c>
      <c r="L189" s="405">
        <v>50.115753811405988</v>
      </c>
      <c r="M189" s="405">
        <v>50.025334271639693</v>
      </c>
      <c r="N189" s="405">
        <v>50.043670697527375</v>
      </c>
    </row>
    <row r="190" spans="1:14" ht="14.5">
      <c r="A190" s="473"/>
      <c r="B190" s="576" t="s">
        <v>116</v>
      </c>
      <c r="C190" s="407">
        <v>50</v>
      </c>
      <c r="D190" s="407">
        <v>50.027311484146018</v>
      </c>
      <c r="E190" s="407">
        <v>49.943154761904765</v>
      </c>
      <c r="F190" s="407">
        <v>50.019473684210524</v>
      </c>
      <c r="G190" s="407">
        <v>50.004458480401262</v>
      </c>
      <c r="H190" s="407">
        <v>50</v>
      </c>
      <c r="I190" s="407">
        <v>50.154676258992808</v>
      </c>
      <c r="J190" s="619">
        <v>50.074821852731588</v>
      </c>
      <c r="K190" s="407">
        <v>50.5136186770428</v>
      </c>
      <c r="L190" s="407">
        <v>50.096053611317942</v>
      </c>
      <c r="M190" s="407">
        <v>50.106333072713056</v>
      </c>
      <c r="N190" s="407">
        <v>50.136420840674553</v>
      </c>
    </row>
    <row r="191" spans="1:14" ht="14.5">
      <c r="A191" s="471">
        <v>2025</v>
      </c>
      <c r="B191" s="577" t="s">
        <v>105</v>
      </c>
      <c r="C191" s="403">
        <v>50</v>
      </c>
      <c r="D191" s="403">
        <v>50</v>
      </c>
      <c r="E191" s="403">
        <v>50.029874213836479</v>
      </c>
      <c r="F191" s="403">
        <v>50.022711242770491</v>
      </c>
      <c r="G191" s="403">
        <v>50.072518507327388</v>
      </c>
      <c r="H191" s="403">
        <v>50.609701824655097</v>
      </c>
      <c r="I191" s="403">
        <v>50.117941386704793</v>
      </c>
      <c r="J191" s="627">
        <v>50.010651896037494</v>
      </c>
      <c r="K191" s="403">
        <v>50</v>
      </c>
      <c r="L191" s="403">
        <v>50.095115016800207</v>
      </c>
      <c r="M191" s="403">
        <v>50.637473831123515</v>
      </c>
      <c r="N191" s="403">
        <v>49.938197870682941</v>
      </c>
    </row>
    <row r="192" spans="1:14" ht="14.5">
      <c r="A192" s="472"/>
      <c r="B192" s="578" t="s">
        <v>106</v>
      </c>
      <c r="C192" s="405">
        <v>50</v>
      </c>
      <c r="D192" s="405">
        <v>50</v>
      </c>
      <c r="E192" s="405">
        <v>50.098387096774196</v>
      </c>
      <c r="F192" s="405">
        <v>50.008652657601978</v>
      </c>
      <c r="G192" s="405">
        <v>50.41406757634828</v>
      </c>
      <c r="H192" s="405">
        <v>50</v>
      </c>
      <c r="I192" s="405">
        <v>50.015055467511885</v>
      </c>
      <c r="J192" s="618">
        <v>50.13222486144101</v>
      </c>
      <c r="K192" s="405">
        <v>50.00595238095238</v>
      </c>
      <c r="L192" s="405">
        <v>50.039809714571859</v>
      </c>
      <c r="M192" s="405">
        <v>50</v>
      </c>
      <c r="N192" s="405">
        <v>50.142507909117057</v>
      </c>
    </row>
    <row r="193" spans="1:14" ht="14.5">
      <c r="A193" s="472"/>
      <c r="B193" s="578" t="s">
        <v>107</v>
      </c>
      <c r="C193" s="405">
        <v>50</v>
      </c>
      <c r="D193" s="405">
        <v>50.02622917643049</v>
      </c>
      <c r="E193" s="405">
        <v>50.075510204081631</v>
      </c>
      <c r="F193" s="405">
        <v>50.089606901815323</v>
      </c>
      <c r="G193" s="405">
        <v>50.356653865419936</v>
      </c>
      <c r="H193" s="405">
        <v>50.022251891410768</v>
      </c>
      <c r="I193" s="405">
        <v>50.127208480565372</v>
      </c>
      <c r="J193" s="618">
        <v>50.056406099016435</v>
      </c>
      <c r="K193" s="405">
        <v>50.480321998139509</v>
      </c>
      <c r="L193" s="405">
        <v>50.031101237702316</v>
      </c>
      <c r="M193" s="405">
        <v>50.024409217864346</v>
      </c>
      <c r="N193" s="405">
        <v>50.152586398033215</v>
      </c>
    </row>
    <row r="194" spans="1:14" ht="14.5">
      <c r="A194" s="472"/>
      <c r="B194" s="578" t="s">
        <v>108</v>
      </c>
      <c r="C194" s="405">
        <v>50</v>
      </c>
      <c r="D194" s="405">
        <v>50.488955447397977</v>
      </c>
      <c r="E194" s="405">
        <v>50.197548063527442</v>
      </c>
      <c r="F194" s="405">
        <v>50.294149439264963</v>
      </c>
      <c r="G194" s="405">
        <v>49.906694312796212</v>
      </c>
      <c r="H194" s="405">
        <v>49.490969406561</v>
      </c>
      <c r="I194" s="405">
        <v>50.273809523809526</v>
      </c>
      <c r="J194" s="618">
        <v>50.208170117515387</v>
      </c>
      <c r="K194" s="405">
        <v>50.027607361963192</v>
      </c>
      <c r="L194" s="405">
        <v>49.994855463008328</v>
      </c>
      <c r="M194" s="405">
        <v>50.047426023510333</v>
      </c>
      <c r="N194" s="405">
        <v>50.144221960476379</v>
      </c>
    </row>
    <row r="195" spans="1:14" ht="14.5">
      <c r="A195" s="472"/>
      <c r="B195" s="578" t="s">
        <v>109</v>
      </c>
      <c r="C195" s="405">
        <v>50</v>
      </c>
      <c r="D195" s="405">
        <v>50.116327595200836</v>
      </c>
      <c r="E195" s="405">
        <v>50.081847649918963</v>
      </c>
      <c r="F195" s="405">
        <v>50.112810194500334</v>
      </c>
      <c r="G195" s="405">
        <v>50.180110715697907</v>
      </c>
      <c r="H195" s="405">
        <v>50.34180216802168</v>
      </c>
      <c r="I195" s="405">
        <v>50.020814479638013</v>
      </c>
      <c r="J195" s="618">
        <v>50.095273539263118</v>
      </c>
      <c r="K195" s="405">
        <v>50.423566878980893</v>
      </c>
      <c r="L195" s="405">
        <v>49.81818181818182</v>
      </c>
      <c r="M195" s="405">
        <v>50.02836658354115</v>
      </c>
      <c r="N195" s="405">
        <v>50.318289786223275</v>
      </c>
    </row>
    <row r="196" spans="1:14" ht="14.5">
      <c r="A196" s="472"/>
      <c r="B196" s="578" t="s">
        <v>110</v>
      </c>
      <c r="C196" s="702">
        <v>50</v>
      </c>
      <c r="D196" s="703">
        <v>50.6</v>
      </c>
      <c r="E196" s="703">
        <v>50.1</v>
      </c>
      <c r="F196" s="703">
        <v>50</v>
      </c>
      <c r="G196" s="703">
        <v>50.1</v>
      </c>
      <c r="H196" s="703">
        <v>50.6</v>
      </c>
      <c r="I196" s="703">
        <v>50.1</v>
      </c>
      <c r="J196" s="703">
        <v>50</v>
      </c>
      <c r="K196" s="703">
        <v>50.1</v>
      </c>
      <c r="L196" s="703">
        <v>50</v>
      </c>
      <c r="M196" s="703">
        <v>50</v>
      </c>
      <c r="N196" s="703">
        <v>50.3</v>
      </c>
    </row>
    <row r="197" spans="1:14" ht="14.5">
      <c r="A197" s="472"/>
      <c r="B197" s="578" t="s">
        <v>117</v>
      </c>
      <c r="C197" s="702">
        <v>50</v>
      </c>
      <c r="D197" s="703">
        <v>50.615586206896602</v>
      </c>
      <c r="E197" s="703">
        <v>50.076518691588802</v>
      </c>
      <c r="F197" s="703">
        <v>50.019225209598098</v>
      </c>
      <c r="G197" s="703">
        <v>50</v>
      </c>
      <c r="H197" s="703">
        <v>50.818759342301902</v>
      </c>
      <c r="I197" s="703">
        <v>50.006008583690999</v>
      </c>
      <c r="J197" s="703">
        <v>50.101416853094698</v>
      </c>
      <c r="K197" s="703">
        <v>49.965838509316796</v>
      </c>
      <c r="L197" s="703">
        <v>50.029062870699903</v>
      </c>
      <c r="M197" s="703">
        <v>50.023088569265703</v>
      </c>
      <c r="N197" s="703">
        <v>50.4497959183674</v>
      </c>
    </row>
    <row r="198" spans="1:14" ht="14.5">
      <c r="A198" s="473"/>
      <c r="B198" s="576" t="s">
        <v>112</v>
      </c>
      <c r="C198" s="696">
        <v>50</v>
      </c>
      <c r="D198" s="705">
        <v>50.6142306633636</v>
      </c>
      <c r="E198" s="705">
        <v>50.220131166239</v>
      </c>
      <c r="F198" s="705">
        <v>49.767111616018198</v>
      </c>
      <c r="G198" s="705">
        <v>50.014245014244999</v>
      </c>
      <c r="H198" s="705">
        <v>50.5511780610274</v>
      </c>
      <c r="I198" s="705">
        <v>50.1666666666667</v>
      </c>
      <c r="J198" s="705">
        <v>50.0707865168539</v>
      </c>
      <c r="K198" s="705">
        <v>50.038348082595903</v>
      </c>
      <c r="L198" s="705">
        <v>50.058443465491898</v>
      </c>
      <c r="M198" s="705">
        <v>50.0274135876043</v>
      </c>
      <c r="N198" s="705">
        <v>50.381172609279403</v>
      </c>
    </row>
    <row r="200" spans="1:14" ht="14.5">
      <c r="A200" s="869" t="s">
        <v>351</v>
      </c>
      <c r="B200" s="869"/>
      <c r="C200" s="869"/>
      <c r="D200" s="869"/>
      <c r="E200" s="869"/>
      <c r="F200" s="869"/>
      <c r="G200" s="869"/>
      <c r="H200" s="869"/>
      <c r="I200" s="869"/>
      <c r="J200" s="869"/>
      <c r="K200" s="869"/>
      <c r="L200" s="869"/>
      <c r="M200" s="869"/>
      <c r="N200" s="869"/>
    </row>
    <row r="201" spans="1:14" ht="17.5" customHeight="1">
      <c r="A201" s="735" t="s">
        <v>98</v>
      </c>
      <c r="B201" s="739"/>
      <c r="C201" s="863" t="s">
        <v>324</v>
      </c>
      <c r="D201" s="864" t="s">
        <v>338</v>
      </c>
      <c r="E201" s="865"/>
      <c r="F201" s="865"/>
      <c r="G201" s="865"/>
      <c r="H201" s="865"/>
      <c r="I201" s="865"/>
      <c r="J201" s="865"/>
      <c r="K201" s="865"/>
      <c r="L201" s="865"/>
      <c r="M201" s="865"/>
      <c r="N201" s="866"/>
    </row>
    <row r="202" spans="1:14" ht="63.65" customHeight="1">
      <c r="A202" s="740"/>
      <c r="B202" s="741"/>
      <c r="C202" s="738"/>
      <c r="D202" s="556" t="s">
        <v>339</v>
      </c>
      <c r="E202" s="556" t="s">
        <v>215</v>
      </c>
      <c r="F202" s="556" t="s">
        <v>340</v>
      </c>
      <c r="G202" s="556" t="s">
        <v>341</v>
      </c>
      <c r="H202" s="556" t="s">
        <v>342</v>
      </c>
      <c r="I202" s="556" t="s">
        <v>343</v>
      </c>
      <c r="J202" s="557" t="s">
        <v>344</v>
      </c>
      <c r="K202" s="557" t="s">
        <v>345</v>
      </c>
      <c r="L202" s="557" t="s">
        <v>346</v>
      </c>
      <c r="M202" s="478" t="s">
        <v>347</v>
      </c>
      <c r="N202" s="478" t="s">
        <v>348</v>
      </c>
    </row>
    <row r="203" spans="1:14" ht="14.5">
      <c r="A203" s="471">
        <v>2020</v>
      </c>
      <c r="B203" s="558" t="s">
        <v>112</v>
      </c>
      <c r="C203" s="402">
        <v>50</v>
      </c>
      <c r="D203" s="403">
        <v>50</v>
      </c>
      <c r="E203" s="403">
        <v>50.130295478818084</v>
      </c>
      <c r="F203" s="403">
        <v>50.342345078979342</v>
      </c>
      <c r="G203" s="403">
        <v>50.229202841357541</v>
      </c>
      <c r="H203" s="403">
        <v>50.137394685677251</v>
      </c>
      <c r="I203" s="403">
        <v>50.300952380952381</v>
      </c>
      <c r="J203" s="403">
        <v>49.970440602342443</v>
      </c>
      <c r="K203" s="403">
        <v>50.139904610492849</v>
      </c>
      <c r="L203" s="402">
        <v>50.104119364255595</v>
      </c>
      <c r="M203" s="403">
        <v>50.1667731629393</v>
      </c>
      <c r="N203" s="403">
        <v>50.246302250803858</v>
      </c>
    </row>
    <row r="204" spans="1:14">
      <c r="A204" s="449"/>
      <c r="B204" s="559" t="s">
        <v>113</v>
      </c>
      <c r="C204" s="404">
        <v>50</v>
      </c>
      <c r="D204" s="405">
        <v>49.526708949964764</v>
      </c>
      <c r="E204" s="405">
        <v>50.192172073342739</v>
      </c>
      <c r="F204" s="405">
        <v>50.270276984225561</v>
      </c>
      <c r="G204" s="405">
        <v>50.301235350015837</v>
      </c>
      <c r="H204" s="405">
        <v>50.050144648023142</v>
      </c>
      <c r="I204" s="405">
        <v>50.499628804751296</v>
      </c>
      <c r="J204" s="405">
        <v>50.135816841288317</v>
      </c>
      <c r="K204" s="405">
        <v>50.0993690851735</v>
      </c>
      <c r="L204" s="404">
        <v>50.373732921992065</v>
      </c>
      <c r="M204" s="405">
        <v>49.993203058623621</v>
      </c>
      <c r="N204" s="405">
        <v>50.025611175785798</v>
      </c>
    </row>
    <row r="205" spans="1:14">
      <c r="A205" s="449"/>
      <c r="B205" s="559" t="s">
        <v>114</v>
      </c>
      <c r="C205" s="404">
        <v>50</v>
      </c>
      <c r="D205" s="405">
        <v>50.128813559322033</v>
      </c>
      <c r="E205" s="405">
        <v>50.099814585908526</v>
      </c>
      <c r="F205" s="405">
        <v>50.137649690748781</v>
      </c>
      <c r="G205" s="405">
        <v>50.178645116918844</v>
      </c>
      <c r="H205" s="405">
        <v>50.025445748588837</v>
      </c>
      <c r="I205" s="405">
        <v>50.070035460992905</v>
      </c>
      <c r="J205" s="405">
        <v>50.058207217694992</v>
      </c>
      <c r="K205" s="405">
        <v>49.974763406940063</v>
      </c>
      <c r="L205" s="404">
        <v>50.142556390977447</v>
      </c>
      <c r="M205" s="405">
        <v>50.311897106109328</v>
      </c>
      <c r="N205" s="405">
        <v>49.921988902186925</v>
      </c>
    </row>
    <row r="206" spans="1:14">
      <c r="A206" s="449"/>
      <c r="B206" s="559" t="s">
        <v>115</v>
      </c>
      <c r="C206" s="404">
        <v>50</v>
      </c>
      <c r="D206" s="405">
        <v>50.091212989493791</v>
      </c>
      <c r="E206" s="405">
        <v>50.16658403569658</v>
      </c>
      <c r="F206" s="405">
        <v>49.985534934497814</v>
      </c>
      <c r="G206" s="405">
        <v>50.095695648777436</v>
      </c>
      <c r="H206" s="405">
        <v>50.067099567099568</v>
      </c>
      <c r="I206" s="405">
        <v>50.195029486099408</v>
      </c>
      <c r="J206" s="405">
        <v>50.049864183158711</v>
      </c>
      <c r="K206" s="405">
        <v>50.027079303675052</v>
      </c>
      <c r="L206" s="404">
        <v>50.531534174244648</v>
      </c>
      <c r="M206" s="405">
        <v>50.125067385444744</v>
      </c>
      <c r="N206" s="405">
        <v>50.247425066543222</v>
      </c>
    </row>
    <row r="207" spans="1:14">
      <c r="A207" s="449"/>
      <c r="B207" s="560" t="s">
        <v>116</v>
      </c>
      <c r="C207" s="406">
        <v>50</v>
      </c>
      <c r="D207" s="407">
        <v>50.079977391550095</v>
      </c>
      <c r="E207" s="407">
        <v>50.023132664437014</v>
      </c>
      <c r="F207" s="407">
        <v>50.523908523908524</v>
      </c>
      <c r="G207" s="407">
        <v>50.264168190127968</v>
      </c>
      <c r="H207" s="407">
        <v>50.780258109522151</v>
      </c>
      <c r="I207" s="407">
        <v>50.333583208395801</v>
      </c>
      <c r="J207" s="407">
        <v>50.041521148622429</v>
      </c>
      <c r="K207" s="407">
        <v>50.152103559870547</v>
      </c>
      <c r="L207" s="406">
        <v>50.055555555555557</v>
      </c>
      <c r="M207" s="407">
        <v>49.680334092634773</v>
      </c>
      <c r="N207" s="407">
        <v>50.318650180319423</v>
      </c>
    </row>
    <row r="208" spans="1:14" ht="14.5">
      <c r="A208" s="471">
        <v>2021</v>
      </c>
      <c r="B208" s="559" t="s">
        <v>105</v>
      </c>
      <c r="C208" s="404">
        <v>50</v>
      </c>
      <c r="D208" s="405">
        <v>49.334783239089461</v>
      </c>
      <c r="E208" s="405">
        <v>50.097270615563296</v>
      </c>
      <c r="F208" s="405">
        <v>50.411127379209368</v>
      </c>
      <c r="G208" s="405">
        <v>50.087268836924956</v>
      </c>
      <c r="H208" s="405">
        <v>50.02976727403933</v>
      </c>
      <c r="I208" s="405">
        <v>50.475847152126896</v>
      </c>
      <c r="J208" s="405">
        <v>50.142798857609137</v>
      </c>
      <c r="K208" s="405">
        <v>50.152487961476723</v>
      </c>
      <c r="L208" s="404">
        <v>49.937422934648581</v>
      </c>
      <c r="M208" s="403">
        <v>49.854862119013063</v>
      </c>
      <c r="N208" s="403">
        <v>50.263905972393054</v>
      </c>
    </row>
    <row r="209" spans="1:14">
      <c r="A209" s="449"/>
      <c r="B209" s="559" t="s">
        <v>106</v>
      </c>
      <c r="C209" s="404">
        <v>50</v>
      </c>
      <c r="D209" s="405">
        <v>50.852259950528449</v>
      </c>
      <c r="E209" s="405">
        <v>49.999645892351275</v>
      </c>
      <c r="F209" s="405">
        <v>50.252236398298869</v>
      </c>
      <c r="G209" s="405">
        <v>50.213859757351429</v>
      </c>
      <c r="H209" s="405">
        <v>50.064808813998702</v>
      </c>
      <c r="I209" s="405">
        <v>50.414370078740156</v>
      </c>
      <c r="J209" s="405">
        <v>50</v>
      </c>
      <c r="K209" s="405">
        <v>49.958083832335326</v>
      </c>
      <c r="L209" s="404">
        <v>49.918021201413424</v>
      </c>
      <c r="M209" s="405">
        <v>49.958812260536398</v>
      </c>
      <c r="N209" s="405">
        <v>49.829160530191459</v>
      </c>
    </row>
    <row r="210" spans="1:14">
      <c r="A210" s="449"/>
      <c r="B210" s="559" t="s">
        <v>107</v>
      </c>
      <c r="C210" s="404">
        <v>50</v>
      </c>
      <c r="D210" s="405">
        <v>50.526765289004118</v>
      </c>
      <c r="E210" s="405">
        <v>50.249272550921432</v>
      </c>
      <c r="F210" s="405">
        <v>49.914930059948617</v>
      </c>
      <c r="G210" s="405">
        <v>50.083732481816568</v>
      </c>
      <c r="H210" s="405">
        <v>50.556073092081689</v>
      </c>
      <c r="I210" s="405">
        <v>50.588126159554733</v>
      </c>
      <c r="J210" s="405">
        <v>49.922390376406675</v>
      </c>
      <c r="K210" s="405">
        <v>49.97271268057785</v>
      </c>
      <c r="L210" s="404">
        <v>50.026822558459422</v>
      </c>
      <c r="M210" s="405">
        <v>50.172321428571429</v>
      </c>
      <c r="N210" s="405">
        <v>49.971720742330511</v>
      </c>
    </row>
    <row r="211" spans="1:14">
      <c r="A211" s="449"/>
      <c r="B211" s="559" t="s">
        <v>108</v>
      </c>
      <c r="C211" s="404">
        <v>50</v>
      </c>
      <c r="D211" s="405">
        <v>50.708984660336014</v>
      </c>
      <c r="E211" s="405">
        <v>50.003429355281206</v>
      </c>
      <c r="F211" s="405">
        <v>50.42481151473612</v>
      </c>
      <c r="G211" s="405">
        <v>50.260046025845284</v>
      </c>
      <c r="H211" s="405">
        <v>50.017409470752092</v>
      </c>
      <c r="I211" s="405">
        <v>50.578577699736613</v>
      </c>
      <c r="J211" s="405">
        <v>50.103466114847386</v>
      </c>
      <c r="K211" s="405">
        <v>49.600660066006604</v>
      </c>
      <c r="L211" s="404">
        <v>50.478193628209091</v>
      </c>
      <c r="M211" s="405">
        <v>49.754670999187653</v>
      </c>
      <c r="N211" s="405">
        <v>50.152471956792688</v>
      </c>
    </row>
    <row r="212" spans="1:14">
      <c r="A212" s="449"/>
      <c r="B212" s="559" t="s">
        <v>109</v>
      </c>
      <c r="C212" s="404">
        <v>50</v>
      </c>
      <c r="D212" s="405">
        <v>50.555640828856482</v>
      </c>
      <c r="E212" s="405">
        <v>49.977015437392794</v>
      </c>
      <c r="F212" s="405">
        <v>50.258933263268524</v>
      </c>
      <c r="G212" s="405">
        <v>49.950172869635956</v>
      </c>
      <c r="H212" s="405">
        <v>50</v>
      </c>
      <c r="I212" s="405">
        <v>50.608180839612487</v>
      </c>
      <c r="J212" s="405">
        <v>50.009791921664629</v>
      </c>
      <c r="K212" s="405">
        <v>50.192307692307693</v>
      </c>
      <c r="L212" s="404">
        <v>50.269402985074628</v>
      </c>
      <c r="M212" s="405">
        <v>49.983443708609272</v>
      </c>
      <c r="N212" s="405">
        <v>50.519628099173552</v>
      </c>
    </row>
    <row r="213" spans="1:14">
      <c r="A213" s="449"/>
      <c r="B213" s="559" t="s">
        <v>110</v>
      </c>
      <c r="C213" s="404">
        <v>50</v>
      </c>
      <c r="D213" s="405">
        <v>50.059265811587792</v>
      </c>
      <c r="E213" s="405">
        <v>49.95384615384615</v>
      </c>
      <c r="F213" s="405">
        <v>49.820929247281455</v>
      </c>
      <c r="G213" s="405">
        <v>50.037405405405408</v>
      </c>
      <c r="H213" s="405">
        <v>49.980134799574316</v>
      </c>
      <c r="I213" s="405">
        <v>50.690355329949242</v>
      </c>
      <c r="J213" s="405">
        <v>49.982456140350877</v>
      </c>
      <c r="K213" s="405">
        <v>50.027732463295273</v>
      </c>
      <c r="L213" s="404">
        <v>50.433994095318432</v>
      </c>
      <c r="M213" s="405">
        <v>49.95384615384615</v>
      </c>
      <c r="N213" s="405">
        <v>50.312017640573316</v>
      </c>
    </row>
    <row r="214" spans="1:14">
      <c r="A214" s="449"/>
      <c r="B214" s="559" t="s">
        <v>117</v>
      </c>
      <c r="C214" s="404">
        <v>50</v>
      </c>
      <c r="D214" s="405">
        <v>50.09932633557888</v>
      </c>
      <c r="E214" s="405">
        <v>49.997340425531917</v>
      </c>
      <c r="F214" s="405">
        <v>49.894478010397641</v>
      </c>
      <c r="G214" s="405">
        <v>50.116205366575109</v>
      </c>
      <c r="H214" s="405">
        <v>50.044714038128248</v>
      </c>
      <c r="I214" s="405">
        <v>50.575501583949311</v>
      </c>
      <c r="J214" s="405">
        <v>50.061199510403917</v>
      </c>
      <c r="K214" s="405">
        <v>50.114832535885171</v>
      </c>
      <c r="L214" s="404">
        <v>50.092868988391373</v>
      </c>
      <c r="M214" s="405">
        <v>50.072329688814129</v>
      </c>
      <c r="N214" s="405">
        <v>50.36376869127961</v>
      </c>
    </row>
    <row r="215" spans="1:14">
      <c r="A215" s="449"/>
      <c r="B215" s="559" t="s">
        <v>112</v>
      </c>
      <c r="C215" s="404">
        <v>50</v>
      </c>
      <c r="D215" s="405">
        <v>50.429454967143407</v>
      </c>
      <c r="E215" s="405">
        <v>50.258412962193603</v>
      </c>
      <c r="F215" s="405">
        <v>50.084049501546922</v>
      </c>
      <c r="G215" s="405">
        <v>49.928287606433301</v>
      </c>
      <c r="H215" s="405">
        <v>50.483974358974358</v>
      </c>
      <c r="I215" s="405">
        <v>50.435058078141502</v>
      </c>
      <c r="J215" s="405">
        <v>49.488945041061278</v>
      </c>
      <c r="K215" s="405">
        <v>49.477759472817134</v>
      </c>
      <c r="L215" s="404">
        <v>50.158249158249156</v>
      </c>
      <c r="M215" s="405">
        <v>49.827188940092164</v>
      </c>
      <c r="N215" s="405">
        <v>49.785439521299331</v>
      </c>
    </row>
    <row r="216" spans="1:14">
      <c r="A216" s="449"/>
      <c r="B216" s="559" t="s">
        <v>113</v>
      </c>
      <c r="C216" s="404">
        <v>50</v>
      </c>
      <c r="D216" s="405">
        <v>50.259852750108273</v>
      </c>
      <c r="E216" s="405">
        <v>49.948208584604473</v>
      </c>
      <c r="F216" s="405">
        <v>50.050359712230218</v>
      </c>
      <c r="G216" s="405">
        <v>49.834848735328151</v>
      </c>
      <c r="H216" s="405">
        <v>50.338461538461537</v>
      </c>
      <c r="I216" s="405">
        <v>50.022988505747129</v>
      </c>
      <c r="J216" s="405">
        <v>50.37521031968592</v>
      </c>
      <c r="K216" s="405">
        <v>50.057851239669418</v>
      </c>
      <c r="L216" s="404">
        <v>49.823181049069376</v>
      </c>
      <c r="M216" s="405">
        <v>49.527272727272724</v>
      </c>
      <c r="N216" s="405">
        <v>49.986710963455153</v>
      </c>
    </row>
    <row r="217" spans="1:14">
      <c r="A217" s="449"/>
      <c r="B217" s="559" t="s">
        <v>114</v>
      </c>
      <c r="C217" s="404">
        <v>50</v>
      </c>
      <c r="D217" s="405">
        <v>50.236207374549487</v>
      </c>
      <c r="E217" s="405">
        <v>49.829893475366177</v>
      </c>
      <c r="F217" s="405">
        <v>50.014799154334035</v>
      </c>
      <c r="G217" s="405">
        <v>49.767328398384926</v>
      </c>
      <c r="H217" s="405">
        <v>50.383411580594682</v>
      </c>
      <c r="I217" s="405">
        <v>49.991080277502476</v>
      </c>
      <c r="J217" s="405">
        <v>50.037341772151898</v>
      </c>
      <c r="K217" s="405">
        <v>50.127886323268207</v>
      </c>
      <c r="L217" s="404">
        <v>49.993466299862447</v>
      </c>
      <c r="M217" s="405">
        <v>49.913793103448278</v>
      </c>
      <c r="N217" s="405">
        <v>49.921817892896868</v>
      </c>
    </row>
    <row r="218" spans="1:14">
      <c r="A218" s="449"/>
      <c r="B218" s="559" t="s">
        <v>115</v>
      </c>
      <c r="C218" s="404">
        <v>50</v>
      </c>
      <c r="D218" s="405">
        <v>50.007865757734663</v>
      </c>
      <c r="E218" s="405">
        <v>50.093442065919128</v>
      </c>
      <c r="F218" s="405">
        <v>50.02283653846154</v>
      </c>
      <c r="G218" s="405">
        <v>50.091248579314822</v>
      </c>
      <c r="H218" s="405">
        <v>50.086071987480437</v>
      </c>
      <c r="I218" s="405">
        <v>50.381258023106547</v>
      </c>
      <c r="J218" s="405">
        <v>49.974683544303801</v>
      </c>
      <c r="K218" s="405">
        <v>50.478927203065133</v>
      </c>
      <c r="L218" s="404">
        <v>50.456618464961068</v>
      </c>
      <c r="M218" s="405">
        <v>49.338652482269502</v>
      </c>
      <c r="N218" s="405">
        <v>50.388138138138139</v>
      </c>
    </row>
    <row r="219" spans="1:14">
      <c r="A219" s="451"/>
      <c r="B219" s="560" t="s">
        <v>116</v>
      </c>
      <c r="C219" s="406">
        <v>50</v>
      </c>
      <c r="D219" s="407">
        <v>50.469851213782299</v>
      </c>
      <c r="E219" s="407">
        <v>50.09438275636839</v>
      </c>
      <c r="F219" s="407">
        <v>50.218821625994337</v>
      </c>
      <c r="G219" s="407">
        <v>49.937700706486837</v>
      </c>
      <c r="H219" s="407">
        <v>50.173234200743494</v>
      </c>
      <c r="I219" s="409">
        <v>50.406559405940591</v>
      </c>
      <c r="J219" s="407">
        <v>50</v>
      </c>
      <c r="K219" s="409">
        <v>50.037800687285227</v>
      </c>
      <c r="L219" s="410">
        <v>50.08458177278402</v>
      </c>
      <c r="M219" s="410">
        <v>50.226769911504427</v>
      </c>
      <c r="N219" s="407">
        <v>50.039677713590756</v>
      </c>
    </row>
    <row r="220" spans="1:14" ht="14.5">
      <c r="A220" s="471">
        <v>2022</v>
      </c>
      <c r="B220" s="577" t="s">
        <v>105</v>
      </c>
      <c r="C220" s="403">
        <v>50</v>
      </c>
      <c r="D220" s="403">
        <v>50.703970253088642</v>
      </c>
      <c r="E220" s="403">
        <v>50.013686402856294</v>
      </c>
      <c r="F220" s="403">
        <v>50.00702119360291</v>
      </c>
      <c r="G220" s="403">
        <v>50.255524079320111</v>
      </c>
      <c r="H220" s="403">
        <v>49.832323232323233</v>
      </c>
      <c r="I220" s="403">
        <v>50.046836483155303</v>
      </c>
      <c r="J220" s="403">
        <v>50.455960854092524</v>
      </c>
      <c r="K220" s="403">
        <v>50.037398373983741</v>
      </c>
      <c r="L220" s="403">
        <v>50.092409240924091</v>
      </c>
      <c r="M220" s="403">
        <v>49.918451969592262</v>
      </c>
      <c r="N220" s="403">
        <v>50.142893956964308</v>
      </c>
    </row>
    <row r="221" spans="1:14" ht="14.5">
      <c r="A221" s="472"/>
      <c r="B221" s="578" t="s">
        <v>106</v>
      </c>
      <c r="C221" s="405">
        <v>50</v>
      </c>
      <c r="D221" s="408">
        <v>50.614638875424141</v>
      </c>
      <c r="E221" s="405">
        <v>50.163339382940109</v>
      </c>
      <c r="F221" s="408">
        <v>50.194100370323078</v>
      </c>
      <c r="G221" s="405">
        <v>50.37890365448505</v>
      </c>
      <c r="H221" s="408">
        <v>50.041849342367478</v>
      </c>
      <c r="I221" s="405">
        <v>50.192419825072889</v>
      </c>
      <c r="J221" s="408">
        <v>50</v>
      </c>
      <c r="K221" s="405">
        <v>50.100323624595468</v>
      </c>
      <c r="L221" s="408">
        <v>50.174967061923581</v>
      </c>
      <c r="M221" s="405">
        <v>50.012285012285012</v>
      </c>
      <c r="N221" s="404">
        <v>50.443063916997566</v>
      </c>
    </row>
    <row r="222" spans="1:14" ht="14.5">
      <c r="A222" s="472"/>
      <c r="B222" s="578" t="s">
        <v>107</v>
      </c>
      <c r="C222" s="405">
        <v>50</v>
      </c>
      <c r="D222" s="405">
        <v>50.829305912596404</v>
      </c>
      <c r="E222" s="405">
        <v>50.125793421811885</v>
      </c>
      <c r="F222" s="405">
        <v>50.253159505121722</v>
      </c>
      <c r="G222" s="405">
        <v>49.849323994135851</v>
      </c>
      <c r="H222" s="405">
        <v>49.597999999999999</v>
      </c>
      <c r="I222" s="405">
        <v>50.053303303303302</v>
      </c>
      <c r="J222" s="405">
        <v>50.058274021352311</v>
      </c>
      <c r="K222" s="405">
        <v>50.006779661016949</v>
      </c>
      <c r="L222" s="405">
        <v>50.007002423915971</v>
      </c>
      <c r="M222" s="405">
        <v>50.030235162374019</v>
      </c>
      <c r="N222" s="405">
        <v>50.437699505374262</v>
      </c>
    </row>
    <row r="223" spans="1:14" ht="14.5">
      <c r="A223" s="472"/>
      <c r="B223" s="578" t="s">
        <v>108</v>
      </c>
      <c r="C223" s="405">
        <v>50</v>
      </c>
      <c r="D223" s="405">
        <v>50.492817540322584</v>
      </c>
      <c r="E223" s="405">
        <v>50.016489556614147</v>
      </c>
      <c r="F223" s="405">
        <v>50.292507204610949</v>
      </c>
      <c r="G223" s="405">
        <v>50.138229544819886</v>
      </c>
      <c r="H223" s="405">
        <v>49.995602784902893</v>
      </c>
      <c r="I223" s="405">
        <v>50.60787172011662</v>
      </c>
      <c r="J223" s="405">
        <v>50.045373665480426</v>
      </c>
      <c r="K223" s="405">
        <v>50.022336769759448</v>
      </c>
      <c r="L223" s="405">
        <v>50.208501396214707</v>
      </c>
      <c r="M223" s="405">
        <v>50.385220125786162</v>
      </c>
      <c r="N223" s="405">
        <v>49.738236025996905</v>
      </c>
    </row>
    <row r="224" spans="1:14" ht="14.5">
      <c r="A224" s="472"/>
      <c r="B224" s="578" t="s">
        <v>109</v>
      </c>
      <c r="C224" s="405">
        <v>50</v>
      </c>
      <c r="D224" s="405">
        <v>50.684269245072521</v>
      </c>
      <c r="E224" s="405">
        <v>50.084724799010516</v>
      </c>
      <c r="F224" s="405">
        <v>50.346608983331215</v>
      </c>
      <c r="G224" s="405">
        <v>49.748052726183346</v>
      </c>
      <c r="H224" s="405">
        <v>50.850661625708888</v>
      </c>
      <c r="I224" s="405">
        <v>50.114114114114116</v>
      </c>
      <c r="J224" s="405">
        <v>50.076957295373667</v>
      </c>
      <c r="K224" s="405">
        <v>50.016583747927029</v>
      </c>
      <c r="L224" s="405">
        <v>49.737748344370864</v>
      </c>
      <c r="M224" s="405">
        <v>50.322553897180761</v>
      </c>
      <c r="N224" s="405">
        <v>50.17618433718102</v>
      </c>
    </row>
    <row r="225" spans="1:14" ht="14.5">
      <c r="A225" s="472"/>
      <c r="B225" s="578" t="s">
        <v>110</v>
      </c>
      <c r="C225" s="405">
        <v>50</v>
      </c>
      <c r="D225" s="405">
        <v>49.954563106796115</v>
      </c>
      <c r="E225" s="405">
        <v>50.164464023494858</v>
      </c>
      <c r="F225" s="405">
        <v>49.886797252607479</v>
      </c>
      <c r="G225" s="405">
        <v>50.099920697858842</v>
      </c>
      <c r="H225" s="405">
        <v>50.01987281399046</v>
      </c>
      <c r="I225" s="405">
        <v>50.165191740412979</v>
      </c>
      <c r="J225" s="405">
        <v>50.008896797153028</v>
      </c>
      <c r="K225" s="405">
        <v>50.026694045174537</v>
      </c>
      <c r="L225" s="405">
        <v>50.176294820717132</v>
      </c>
      <c r="M225" s="405">
        <v>50.208900999091732</v>
      </c>
      <c r="N225" s="405">
        <v>50.075353757275053</v>
      </c>
    </row>
    <row r="226" spans="1:14" ht="14.5">
      <c r="A226" s="472"/>
      <c r="B226" s="578" t="s">
        <v>117</v>
      </c>
      <c r="C226" s="405">
        <v>50</v>
      </c>
      <c r="D226" s="405">
        <v>50.00529233870968</v>
      </c>
      <c r="E226" s="405">
        <v>50.191928821099459</v>
      </c>
      <c r="F226" s="405">
        <v>50.066851150597145</v>
      </c>
      <c r="G226" s="405">
        <v>49.936487570168403</v>
      </c>
      <c r="H226" s="405">
        <v>50.166131907308376</v>
      </c>
      <c r="I226" s="405">
        <v>50.133333333333333</v>
      </c>
      <c r="J226" s="405">
        <v>50.199708454810498</v>
      </c>
      <c r="K226" s="405">
        <v>50.014644351464433</v>
      </c>
      <c r="L226" s="405">
        <v>50.241324503311262</v>
      </c>
      <c r="M226" s="405">
        <v>50</v>
      </c>
      <c r="N226" s="405">
        <v>50.183746898976864</v>
      </c>
    </row>
    <row r="227" spans="1:14" ht="14.5">
      <c r="A227" s="472"/>
      <c r="B227" s="578" t="s">
        <v>112</v>
      </c>
      <c r="C227" s="405">
        <v>50</v>
      </c>
      <c r="D227" s="405">
        <v>50.086574137694107</v>
      </c>
      <c r="E227" s="405">
        <v>50.148622852467959</v>
      </c>
      <c r="F227" s="405">
        <v>50.150278797769616</v>
      </c>
      <c r="G227" s="405">
        <v>50.050975177304963</v>
      </c>
      <c r="H227" s="405">
        <v>49.862932454695219</v>
      </c>
      <c r="I227" s="405">
        <v>50.070298769771526</v>
      </c>
      <c r="J227" s="405">
        <v>50.426601423487547</v>
      </c>
      <c r="K227" s="405">
        <v>50.026666666666664</v>
      </c>
      <c r="L227" s="405">
        <v>50.113952613764575</v>
      </c>
      <c r="M227" s="405">
        <v>50.229540918163671</v>
      </c>
      <c r="N227" s="405">
        <v>50.338272683293297</v>
      </c>
    </row>
    <row r="228" spans="1:14" ht="14.5">
      <c r="A228" s="472"/>
      <c r="B228" s="578" t="s">
        <v>113</v>
      </c>
      <c r="C228" s="405">
        <v>50</v>
      </c>
      <c r="D228" s="405">
        <v>50.165217391304346</v>
      </c>
      <c r="E228" s="405">
        <v>50.125276548672566</v>
      </c>
      <c r="F228" s="405">
        <v>50.069512946979039</v>
      </c>
      <c r="G228" s="405">
        <v>49.834056712962962</v>
      </c>
      <c r="H228" s="405">
        <v>49.945121951219512</v>
      </c>
      <c r="I228" s="405">
        <v>50.38452012383901</v>
      </c>
      <c r="J228" s="405">
        <v>50.103202846975087</v>
      </c>
      <c r="K228" s="405">
        <v>49.844559585492227</v>
      </c>
      <c r="L228" s="405">
        <v>50.446726572528881</v>
      </c>
      <c r="M228" s="405">
        <v>50.337053571428569</v>
      </c>
      <c r="N228" s="405">
        <v>50.007256619968267</v>
      </c>
    </row>
    <row r="229" spans="1:14" ht="14.5">
      <c r="A229" s="472"/>
      <c r="B229" s="578" t="s">
        <v>114</v>
      </c>
      <c r="C229" s="405">
        <v>50</v>
      </c>
      <c r="D229" s="405">
        <v>49.974019292604503</v>
      </c>
      <c r="E229" s="405">
        <v>50.034501494159194</v>
      </c>
      <c r="F229" s="405">
        <v>49.78173280823993</v>
      </c>
      <c r="G229" s="405">
        <v>50.032963827304549</v>
      </c>
      <c r="H229" s="405">
        <v>49.952114924181963</v>
      </c>
      <c r="I229" s="405">
        <v>50.47152619589977</v>
      </c>
      <c r="J229" s="405">
        <v>50.053919694072661</v>
      </c>
      <c r="K229" s="405">
        <v>50.039832285115303</v>
      </c>
      <c r="L229" s="405">
        <v>50.425910155237162</v>
      </c>
      <c r="M229" s="405">
        <v>49.866969506407969</v>
      </c>
      <c r="N229" s="405">
        <v>50.13494312431569</v>
      </c>
    </row>
    <row r="230" spans="1:14" ht="14.5">
      <c r="A230" s="472"/>
      <c r="B230" s="578" t="s">
        <v>115</v>
      </c>
      <c r="C230" s="405">
        <v>50</v>
      </c>
      <c r="D230" s="405">
        <v>49.990607308286158</v>
      </c>
      <c r="E230" s="405">
        <v>50.013901212658979</v>
      </c>
      <c r="F230" s="405">
        <v>49.682119205298015</v>
      </c>
      <c r="G230" s="405">
        <v>49.840900835452231</v>
      </c>
      <c r="H230" s="405">
        <v>50.192052980132452</v>
      </c>
      <c r="I230" s="405">
        <v>50.041424418604649</v>
      </c>
      <c r="J230" s="405">
        <v>50.106106870229006</v>
      </c>
      <c r="K230" s="405">
        <v>50.028318584070796</v>
      </c>
      <c r="L230" s="405">
        <v>50.299904942048116</v>
      </c>
      <c r="M230" s="405">
        <v>50</v>
      </c>
      <c r="N230" s="405">
        <v>50.066718152695792</v>
      </c>
    </row>
    <row r="231" spans="1:14" ht="14.5">
      <c r="A231" s="473"/>
      <c r="B231" s="576" t="s">
        <v>116</v>
      </c>
      <c r="C231" s="407">
        <v>50</v>
      </c>
      <c r="D231" s="407">
        <v>49.990207914151576</v>
      </c>
      <c r="E231" s="407">
        <v>49.996304280874654</v>
      </c>
      <c r="F231" s="407">
        <v>49.842982456140348</v>
      </c>
      <c r="G231" s="407">
        <v>49.912104394780258</v>
      </c>
      <c r="H231" s="407">
        <v>50.145950280673617</v>
      </c>
      <c r="I231" s="407">
        <v>50.133493686109439</v>
      </c>
      <c r="J231" s="407">
        <v>50.092366412213742</v>
      </c>
      <c r="K231" s="407">
        <v>49.811846689895468</v>
      </c>
      <c r="L231" s="407">
        <v>50.295831832732226</v>
      </c>
      <c r="M231" s="407">
        <v>50.143442622950822</v>
      </c>
      <c r="N231" s="407">
        <v>50.335575624819995</v>
      </c>
    </row>
    <row r="232" spans="1:14" ht="14.5">
      <c r="A232" s="471">
        <v>2023</v>
      </c>
      <c r="B232" s="559" t="s">
        <v>105</v>
      </c>
      <c r="C232" s="403">
        <v>50</v>
      </c>
      <c r="D232" s="403">
        <v>50.006899147014551</v>
      </c>
      <c r="E232" s="403">
        <v>50.033457249070629</v>
      </c>
      <c r="F232" s="403">
        <v>50.191043863671098</v>
      </c>
      <c r="G232" s="403">
        <v>50.086338797814207</v>
      </c>
      <c r="H232" s="403">
        <v>50</v>
      </c>
      <c r="I232" s="403">
        <v>49.943792464484247</v>
      </c>
      <c r="J232" s="403">
        <v>50.08365310821182</v>
      </c>
      <c r="K232" s="403">
        <v>50</v>
      </c>
      <c r="L232" s="403">
        <v>49.82331442491563</v>
      </c>
      <c r="M232" s="403">
        <v>50.173658457778565</v>
      </c>
      <c r="N232" s="403">
        <v>50.106968463181381</v>
      </c>
    </row>
    <row r="233" spans="1:14" ht="14.5">
      <c r="A233" s="472"/>
      <c r="B233" s="559" t="s">
        <v>106</v>
      </c>
      <c r="C233" s="405">
        <v>50</v>
      </c>
      <c r="D233" s="405">
        <v>50.439002784105291</v>
      </c>
      <c r="E233" s="405">
        <v>50.073095823095827</v>
      </c>
      <c r="F233" s="405">
        <v>50.141399416909621</v>
      </c>
      <c r="G233" s="405">
        <v>50.145267919276272</v>
      </c>
      <c r="H233" s="405">
        <v>50.044512663085186</v>
      </c>
      <c r="I233" s="405">
        <v>50.038936959208897</v>
      </c>
      <c r="J233" s="405">
        <v>50.033000767459711</v>
      </c>
      <c r="K233" s="405">
        <v>50.184027777777779</v>
      </c>
      <c r="L233" s="405">
        <v>50.075735427817399</v>
      </c>
      <c r="M233" s="405">
        <v>50.018277584526842</v>
      </c>
      <c r="N233" s="405">
        <v>50.00270385006278</v>
      </c>
    </row>
    <row r="234" spans="1:14" ht="14.5">
      <c r="A234" s="472"/>
      <c r="B234" s="559" t="s">
        <v>107</v>
      </c>
      <c r="C234" s="405">
        <v>50</v>
      </c>
      <c r="D234" s="405">
        <v>50.084922227797293</v>
      </c>
      <c r="E234" s="405">
        <v>50.043080554735909</v>
      </c>
      <c r="F234" s="405">
        <v>50.166399299985414</v>
      </c>
      <c r="G234" s="405">
        <v>50.102717966819625</v>
      </c>
      <c r="H234" s="405">
        <v>50.130264871906206</v>
      </c>
      <c r="I234" s="405">
        <v>50.078500292911542</v>
      </c>
      <c r="J234" s="405">
        <v>50.092862624712204</v>
      </c>
      <c r="K234" s="405">
        <v>50.084016393442624</v>
      </c>
      <c r="L234" s="405">
        <v>50.049455280707626</v>
      </c>
      <c r="M234" s="405">
        <v>49.98576871772665</v>
      </c>
      <c r="N234" s="405">
        <v>50.395973648330951</v>
      </c>
    </row>
    <row r="235" spans="1:14" ht="14.5">
      <c r="A235" s="472"/>
      <c r="B235" s="559" t="s">
        <v>108</v>
      </c>
      <c r="C235" s="405">
        <v>50</v>
      </c>
      <c r="D235" s="405">
        <v>49.823836905384212</v>
      </c>
      <c r="E235" s="405">
        <v>49.924847664184156</v>
      </c>
      <c r="F235" s="405">
        <v>50.466291079812208</v>
      </c>
      <c r="G235" s="405">
        <v>49.910518884574657</v>
      </c>
      <c r="H235" s="405">
        <v>50</v>
      </c>
      <c r="I235" s="405">
        <v>50.083580320094846</v>
      </c>
      <c r="J235" s="405">
        <v>50.024558710667691</v>
      </c>
      <c r="K235" s="405">
        <v>50.25</v>
      </c>
      <c r="L235" s="405">
        <v>50.097216777734225</v>
      </c>
      <c r="M235" s="405">
        <v>50.271251515918813</v>
      </c>
      <c r="N235" s="405">
        <v>50.18979809758067</v>
      </c>
    </row>
    <row r="236" spans="1:14" ht="14.5">
      <c r="A236" s="472"/>
      <c r="B236" s="559" t="s">
        <v>109</v>
      </c>
      <c r="C236" s="405">
        <v>50</v>
      </c>
      <c r="D236" s="405">
        <v>49.752703772091799</v>
      </c>
      <c r="E236" s="405">
        <v>50.099942396313367</v>
      </c>
      <c r="F236" s="405">
        <v>50.084818067754078</v>
      </c>
      <c r="G236" s="405">
        <v>50.090493762080477</v>
      </c>
      <c r="H236" s="405">
        <v>49.943880019351717</v>
      </c>
      <c r="I236" s="405">
        <v>50.055188962207559</v>
      </c>
      <c r="J236" s="405">
        <v>50.08365310821182</v>
      </c>
      <c r="K236" s="405">
        <v>50.188299817184642</v>
      </c>
      <c r="L236" s="405">
        <v>50.018253873986247</v>
      </c>
      <c r="M236" s="405">
        <v>50.11311153544667</v>
      </c>
      <c r="N236" s="405">
        <v>50.376822394236072</v>
      </c>
    </row>
    <row r="237" spans="1:14" ht="14.5">
      <c r="A237" s="472"/>
      <c r="B237" s="559" t="s">
        <v>110</v>
      </c>
      <c r="C237" s="405">
        <v>50</v>
      </c>
      <c r="D237" s="405">
        <v>50.037050992213011</v>
      </c>
      <c r="E237" s="405">
        <v>50.153323029366305</v>
      </c>
      <c r="F237" s="405">
        <v>50.193994383236117</v>
      </c>
      <c r="G237" s="405">
        <v>49.97572549735353</v>
      </c>
      <c r="H237" s="405">
        <v>50.277833500501501</v>
      </c>
      <c r="I237" s="405">
        <v>50.050511124473843</v>
      </c>
      <c r="J237" s="405">
        <v>50.417498081350729</v>
      </c>
      <c r="K237" s="405">
        <v>50.179930795847753</v>
      </c>
      <c r="L237" s="405">
        <v>50.196991852527198</v>
      </c>
      <c r="M237" s="405">
        <v>49.924602196291886</v>
      </c>
      <c r="N237" s="405">
        <v>50.323351929864508</v>
      </c>
    </row>
    <row r="238" spans="1:14" ht="14.5">
      <c r="A238" s="472"/>
      <c r="B238" s="559" t="s">
        <v>117</v>
      </c>
      <c r="C238" s="405">
        <v>50</v>
      </c>
      <c r="D238" s="405">
        <v>50.067807514153372</v>
      </c>
      <c r="E238" s="405">
        <v>50.000573558933183</v>
      </c>
      <c r="F238" s="405">
        <v>50.123754669987548</v>
      </c>
      <c r="G238" s="405">
        <v>50.066162570888466</v>
      </c>
      <c r="H238" s="405">
        <v>50.082455336692625</v>
      </c>
      <c r="I238" s="405">
        <v>50.013888888888886</v>
      </c>
      <c r="J238" s="405">
        <v>49.986185725249427</v>
      </c>
      <c r="K238" s="405">
        <v>50.195445920303605</v>
      </c>
      <c r="L238" s="405">
        <v>50.116598588934274</v>
      </c>
      <c r="M238" s="405">
        <v>50.380019558880775</v>
      </c>
      <c r="N238" s="405">
        <v>50.254475533748838</v>
      </c>
    </row>
    <row r="239" spans="1:14" ht="14.5">
      <c r="A239" s="472"/>
      <c r="B239" s="578" t="s">
        <v>112</v>
      </c>
      <c r="C239" s="405">
        <v>50</v>
      </c>
      <c r="D239" s="405">
        <v>50.066027397260271</v>
      </c>
      <c r="E239" s="405">
        <v>50.096858638743456</v>
      </c>
      <c r="F239" s="405">
        <v>50.033893634610088</v>
      </c>
      <c r="G239" s="405">
        <v>50.095849454801268</v>
      </c>
      <c r="H239" s="405">
        <v>50</v>
      </c>
      <c r="I239" s="405">
        <v>50.022113022113025</v>
      </c>
      <c r="J239" s="405">
        <v>50.024558710667691</v>
      </c>
      <c r="K239" s="405">
        <v>50.003460207612456</v>
      </c>
      <c r="L239" s="405">
        <v>50.236049084372674</v>
      </c>
      <c r="M239" s="405">
        <v>50.071477291912885</v>
      </c>
      <c r="N239" s="405">
        <v>50.148870509813605</v>
      </c>
    </row>
    <row r="240" spans="1:14" ht="14.5">
      <c r="A240" s="472"/>
      <c r="B240" s="578" t="s">
        <v>113</v>
      </c>
      <c r="C240" s="405">
        <v>50</v>
      </c>
      <c r="D240" s="405">
        <v>50.131009763935239</v>
      </c>
      <c r="E240" s="405">
        <v>50.116957470010902</v>
      </c>
      <c r="F240" s="405">
        <v>49.71778711484594</v>
      </c>
      <c r="G240" s="405">
        <v>50.189830981980727</v>
      </c>
      <c r="H240" s="405">
        <v>50</v>
      </c>
      <c r="I240" s="405">
        <v>50.002437538086532</v>
      </c>
      <c r="J240" s="405">
        <v>50.090560245587106</v>
      </c>
      <c r="K240" s="405">
        <v>50.175746924428822</v>
      </c>
      <c r="L240" s="405">
        <v>50.138010204081631</v>
      </c>
      <c r="M240" s="405">
        <v>49.904148698884761</v>
      </c>
      <c r="N240" s="405">
        <v>50.391170019595066</v>
      </c>
    </row>
    <row r="241" spans="1:14" ht="14.5">
      <c r="A241" s="472"/>
      <c r="B241" s="578" t="s">
        <v>114</v>
      </c>
      <c r="C241" s="405">
        <v>50</v>
      </c>
      <c r="D241" s="405">
        <v>50.27576158940397</v>
      </c>
      <c r="E241" s="405">
        <v>49.992292320867826</v>
      </c>
      <c r="F241" s="405">
        <v>49.666077257889008</v>
      </c>
      <c r="G241" s="405">
        <v>50.212991604065401</v>
      </c>
      <c r="H241" s="405">
        <v>50.024325519681554</v>
      </c>
      <c r="I241" s="405">
        <v>50.155663655316189</v>
      </c>
      <c r="J241" s="405">
        <v>50.025806451612901</v>
      </c>
      <c r="K241" s="405">
        <v>50.188679245283019</v>
      </c>
      <c r="L241" s="405">
        <v>50.102616258425435</v>
      </c>
      <c r="M241" s="405">
        <v>50.139424841015249</v>
      </c>
      <c r="N241" s="405">
        <v>50.266980570473606</v>
      </c>
    </row>
    <row r="242" spans="1:14" ht="14.5">
      <c r="A242" s="472"/>
      <c r="B242" s="578" t="s">
        <v>115</v>
      </c>
      <c r="C242" s="405">
        <v>50</v>
      </c>
      <c r="D242" s="405">
        <v>50.154044972861207</v>
      </c>
      <c r="E242" s="405">
        <v>50.088260016811432</v>
      </c>
      <c r="F242" s="405">
        <v>49.762918401974396</v>
      </c>
      <c r="G242" s="405">
        <v>50.029760817966043</v>
      </c>
      <c r="H242" s="405">
        <v>50.048801009676062</v>
      </c>
      <c r="I242" s="405">
        <v>50.017560073937155</v>
      </c>
      <c r="J242" s="405">
        <v>50.024558710667691</v>
      </c>
      <c r="K242" s="405">
        <v>50.180633147113596</v>
      </c>
      <c r="L242" s="405">
        <v>49.897976099747147</v>
      </c>
      <c r="M242" s="405">
        <v>50.377854691941714</v>
      </c>
      <c r="N242" s="405">
        <v>50.280332390518794</v>
      </c>
    </row>
    <row r="243" spans="1:14" ht="14.5">
      <c r="A243" s="473"/>
      <c r="B243" s="576" t="s">
        <v>116</v>
      </c>
      <c r="C243" s="407">
        <v>50</v>
      </c>
      <c r="D243" s="407">
        <v>49.934847978616773</v>
      </c>
      <c r="E243" s="407">
        <v>50.07653348339899</v>
      </c>
      <c r="F243" s="407">
        <v>49.833214030064426</v>
      </c>
      <c r="G243" s="407">
        <v>50.23926852743022</v>
      </c>
      <c r="H243" s="407">
        <v>50.076614699331849</v>
      </c>
      <c r="I243" s="407">
        <v>50.10679012345679</v>
      </c>
      <c r="J243" s="407">
        <v>50.084430673896208</v>
      </c>
      <c r="K243" s="407">
        <v>50.054409005628521</v>
      </c>
      <c r="L243" s="407">
        <v>50.223648029330889</v>
      </c>
      <c r="M243" s="407">
        <v>50.095180926044584</v>
      </c>
      <c r="N243" s="407">
        <v>50.172242864249341</v>
      </c>
    </row>
    <row r="244" spans="1:14" ht="14.5">
      <c r="A244" s="471">
        <v>2024</v>
      </c>
      <c r="B244" s="577" t="s">
        <v>105</v>
      </c>
      <c r="C244" s="403">
        <v>50</v>
      </c>
      <c r="D244" s="403">
        <v>50.031090660365628</v>
      </c>
      <c r="E244" s="403">
        <v>49.931210573745872</v>
      </c>
      <c r="F244" s="403">
        <v>50.264299268094334</v>
      </c>
      <c r="G244" s="403">
        <v>50.178193769648473</v>
      </c>
      <c r="H244" s="403">
        <v>50</v>
      </c>
      <c r="I244" s="403">
        <v>50.023894862604543</v>
      </c>
      <c r="J244" s="403">
        <v>50.059094397544129</v>
      </c>
      <c r="K244" s="403">
        <v>50.209876543209873</v>
      </c>
      <c r="L244" s="403">
        <v>49.959822814933801</v>
      </c>
      <c r="M244" s="403">
        <v>49.929529657811599</v>
      </c>
      <c r="N244" s="403">
        <v>50.21839461318261</v>
      </c>
    </row>
    <row r="245" spans="1:14" ht="14.5">
      <c r="A245" s="472"/>
      <c r="B245" s="578" t="s">
        <v>106</v>
      </c>
      <c r="C245" s="405">
        <v>50</v>
      </c>
      <c r="D245" s="405">
        <v>50.220242098184265</v>
      </c>
      <c r="E245" s="405">
        <v>50.096029860875468</v>
      </c>
      <c r="F245" s="405">
        <v>49.941440287032293</v>
      </c>
      <c r="G245" s="405">
        <v>50.168676774638179</v>
      </c>
      <c r="H245" s="405">
        <v>50</v>
      </c>
      <c r="I245" s="405">
        <v>50.055819477434682</v>
      </c>
      <c r="J245" s="405">
        <v>50.122773777946193</v>
      </c>
      <c r="K245" s="405">
        <v>50.517799352750806</v>
      </c>
      <c r="L245" s="405">
        <v>50.144135802469137</v>
      </c>
      <c r="M245" s="405">
        <v>50.620798985415348</v>
      </c>
      <c r="N245" s="405">
        <v>50.082551507552935</v>
      </c>
    </row>
    <row r="246" spans="1:14" ht="14.5">
      <c r="A246" s="472"/>
      <c r="B246" s="578" t="s">
        <v>107</v>
      </c>
      <c r="C246" s="405">
        <v>50</v>
      </c>
      <c r="D246" s="405">
        <v>50.244017598454768</v>
      </c>
      <c r="E246" s="405">
        <v>49.931862426995458</v>
      </c>
      <c r="F246" s="405">
        <v>50.063230329784474</v>
      </c>
      <c r="G246" s="405">
        <v>50.052662547808175</v>
      </c>
      <c r="H246" s="405">
        <v>50.673634204275537</v>
      </c>
      <c r="I246" s="405">
        <v>50.117848970251714</v>
      </c>
      <c r="J246" s="405">
        <v>50.132247063281547</v>
      </c>
      <c r="K246" s="405">
        <v>50.477419354838709</v>
      </c>
      <c r="L246" s="405">
        <v>50.008101851851855</v>
      </c>
      <c r="M246" s="405">
        <v>50.578947368421055</v>
      </c>
      <c r="N246" s="405">
        <v>50.410944037026866</v>
      </c>
    </row>
    <row r="247" spans="1:14" ht="14.5">
      <c r="A247" s="472"/>
      <c r="B247" s="578" t="s">
        <v>108</v>
      </c>
      <c r="C247" s="405">
        <v>50</v>
      </c>
      <c r="D247" s="405">
        <v>50.23226556718469</v>
      </c>
      <c r="E247" s="405">
        <v>49.942973523421585</v>
      </c>
      <c r="F247" s="405">
        <v>50.347524115755625</v>
      </c>
      <c r="G247" s="405">
        <v>50.214877430262042</v>
      </c>
      <c r="H247" s="405">
        <v>49.449256342957128</v>
      </c>
      <c r="I247" s="405">
        <v>50.149515738498792</v>
      </c>
      <c r="J247" s="405">
        <v>50.386174016686532</v>
      </c>
      <c r="K247" s="405">
        <v>50.490384615384613</v>
      </c>
      <c r="L247" s="405">
        <v>50.156311962987445</v>
      </c>
      <c r="M247" s="405">
        <v>50.514158990105763</v>
      </c>
      <c r="N247" s="405">
        <v>50.451609298167185</v>
      </c>
    </row>
    <row r="248" spans="1:14" ht="14.5">
      <c r="A248" s="472"/>
      <c r="B248" s="578" t="s">
        <v>109</v>
      </c>
      <c r="C248" s="405">
        <v>50</v>
      </c>
      <c r="D248" s="405">
        <v>50.232487416107382</v>
      </c>
      <c r="E248" s="405">
        <v>50.155594405594407</v>
      </c>
      <c r="F248" s="405">
        <v>49.834306956983539</v>
      </c>
      <c r="G248" s="405">
        <v>50.143521594684387</v>
      </c>
      <c r="H248" s="405">
        <v>50.133420822397198</v>
      </c>
      <c r="I248" s="405">
        <v>50.142857142857146</v>
      </c>
      <c r="J248" s="405">
        <v>50.122773777946193</v>
      </c>
      <c r="K248" s="405">
        <v>50.468553459119498</v>
      </c>
      <c r="L248" s="405">
        <v>50.292536459822706</v>
      </c>
      <c r="M248" s="405">
        <v>50.002795031055904</v>
      </c>
      <c r="N248" s="405">
        <v>50.375147548020173</v>
      </c>
    </row>
    <row r="249" spans="1:14" ht="14.5">
      <c r="A249" s="472"/>
      <c r="B249" s="578" t="s">
        <v>110</v>
      </c>
      <c r="C249" s="405">
        <v>50</v>
      </c>
      <c r="D249" s="405">
        <v>50.024382022471912</v>
      </c>
      <c r="E249" s="405">
        <v>50.232775273663876</v>
      </c>
      <c r="F249" s="405">
        <v>49.787260443954224</v>
      </c>
      <c r="G249" s="405">
        <v>50.073930519666952</v>
      </c>
      <c r="H249" s="405">
        <v>50.016622922134736</v>
      </c>
      <c r="I249" s="405">
        <v>50.146520146520146</v>
      </c>
      <c r="J249" s="405">
        <v>50.079575596816973</v>
      </c>
      <c r="K249" s="405">
        <v>50.389937106918239</v>
      </c>
      <c r="L249" s="405">
        <v>50.076035658101731</v>
      </c>
      <c r="M249" s="405">
        <v>50.00332594235033</v>
      </c>
      <c r="N249" s="405">
        <v>50.464161552193687</v>
      </c>
    </row>
    <row r="250" spans="1:14" ht="14.5">
      <c r="A250" s="472"/>
      <c r="B250" s="578" t="s">
        <v>117</v>
      </c>
      <c r="C250" s="405">
        <v>50</v>
      </c>
      <c r="D250" s="405">
        <v>50.217806208053695</v>
      </c>
      <c r="E250" s="405">
        <v>50.084482758620688</v>
      </c>
      <c r="F250" s="405">
        <v>50.125127681307454</v>
      </c>
      <c r="G250" s="405">
        <v>50.070890410958903</v>
      </c>
      <c r="H250" s="405">
        <v>50.133420822397198</v>
      </c>
      <c r="I250" s="405">
        <v>50.042186571598336</v>
      </c>
      <c r="J250" s="405">
        <v>50.074327038971475</v>
      </c>
      <c r="K250" s="405">
        <v>50.420886075949369</v>
      </c>
      <c r="L250" s="405">
        <v>50.132114761684406</v>
      </c>
      <c r="M250" s="405">
        <v>50.00430107526882</v>
      </c>
      <c r="N250" s="405">
        <v>50.261258828911124</v>
      </c>
    </row>
    <row r="251" spans="1:14" ht="14.5">
      <c r="A251" s="472"/>
      <c r="B251" s="578" t="s">
        <v>112</v>
      </c>
      <c r="C251" s="405">
        <v>50</v>
      </c>
      <c r="D251" s="405">
        <v>50</v>
      </c>
      <c r="E251" s="405">
        <v>50.077598828696928</v>
      </c>
      <c r="F251" s="405">
        <v>50.02173519289984</v>
      </c>
      <c r="G251" s="405">
        <v>50</v>
      </c>
      <c r="H251" s="405">
        <v>50.652173913043477</v>
      </c>
      <c r="I251" s="405">
        <v>50.053457292271936</v>
      </c>
      <c r="J251" s="405">
        <v>50.073852295409182</v>
      </c>
      <c r="K251" s="405">
        <v>50.472560975609753</v>
      </c>
      <c r="L251" s="405">
        <v>50.111026615969578</v>
      </c>
      <c r="M251" s="405">
        <v>50</v>
      </c>
      <c r="N251" s="405">
        <v>50.221533428599187</v>
      </c>
    </row>
    <row r="252" spans="1:14" ht="14.5">
      <c r="A252" s="472"/>
      <c r="B252" s="578" t="s">
        <v>113</v>
      </c>
      <c r="C252" s="405">
        <v>50</v>
      </c>
      <c r="D252" s="405">
        <v>50</v>
      </c>
      <c r="E252" s="405">
        <v>50.148802017654475</v>
      </c>
      <c r="F252" s="405">
        <v>50.003035361966916</v>
      </c>
      <c r="G252" s="405">
        <v>50.046863413910721</v>
      </c>
      <c r="H252" s="405">
        <v>50</v>
      </c>
      <c r="I252" s="405">
        <v>50.006829823562889</v>
      </c>
      <c r="J252" s="405">
        <v>50.084371233427078</v>
      </c>
      <c r="K252" s="405">
        <v>50.345403899721447</v>
      </c>
      <c r="L252" s="405">
        <v>50.136826042726348</v>
      </c>
      <c r="M252" s="405">
        <v>50.004958165478776</v>
      </c>
      <c r="N252" s="405">
        <v>50.209896744266658</v>
      </c>
    </row>
    <row r="253" spans="1:14" ht="14.5">
      <c r="A253" s="472"/>
      <c r="B253" s="578" t="s">
        <v>114</v>
      </c>
      <c r="C253" s="405">
        <v>50</v>
      </c>
      <c r="D253" s="405">
        <v>50</v>
      </c>
      <c r="E253" s="405">
        <v>50.056648777579014</v>
      </c>
      <c r="F253" s="405">
        <v>49.80188550348408</v>
      </c>
      <c r="G253" s="405">
        <v>49.889339948879865</v>
      </c>
      <c r="H253" s="405">
        <v>50.008268482490273</v>
      </c>
      <c r="I253" s="405">
        <v>50.007075471698116</v>
      </c>
      <c r="J253" s="405">
        <v>50</v>
      </c>
      <c r="K253" s="405">
        <v>50.416201117318437</v>
      </c>
      <c r="L253" s="405">
        <v>50.293910417715146</v>
      </c>
      <c r="M253" s="405">
        <v>50.002796768178996</v>
      </c>
      <c r="N253" s="405">
        <v>50.174907111272816</v>
      </c>
    </row>
    <row r="254" spans="1:14" ht="14.5">
      <c r="A254" s="472"/>
      <c r="B254" s="578" t="s">
        <v>115</v>
      </c>
      <c r="C254" s="405">
        <v>50</v>
      </c>
      <c r="D254" s="405">
        <v>50.000838926174495</v>
      </c>
      <c r="E254" s="405">
        <v>50.206518124376458</v>
      </c>
      <c r="F254" s="405">
        <v>50.041522491349482</v>
      </c>
      <c r="G254" s="405">
        <v>50.084098737083814</v>
      </c>
      <c r="H254" s="405">
        <v>50</v>
      </c>
      <c r="I254" s="405">
        <v>49.991173874669023</v>
      </c>
      <c r="J254" s="405">
        <v>50.075819672131146</v>
      </c>
      <c r="K254" s="405">
        <v>50.370149253731341</v>
      </c>
      <c r="L254" s="405">
        <v>49.923771880293621</v>
      </c>
      <c r="M254" s="405">
        <v>50.064743138634768</v>
      </c>
      <c r="N254" s="405">
        <v>50.168066017756864</v>
      </c>
    </row>
    <row r="255" spans="1:14" ht="14.5">
      <c r="A255" s="473"/>
      <c r="B255" s="576" t="s">
        <v>116</v>
      </c>
      <c r="C255" s="407">
        <v>50</v>
      </c>
      <c r="D255" s="407">
        <v>49.973754329869436</v>
      </c>
      <c r="E255" s="407">
        <v>50.1</v>
      </c>
      <c r="F255" s="407">
        <v>49.953815789473687</v>
      </c>
      <c r="G255" s="407">
        <v>50.169979565298163</v>
      </c>
      <c r="H255" s="407">
        <v>50.727008712487901</v>
      </c>
      <c r="I255" s="407">
        <v>50.0273381294964</v>
      </c>
      <c r="J255" s="407">
        <v>50.098178939034042</v>
      </c>
      <c r="K255" s="407">
        <v>50.5136186770428</v>
      </c>
      <c r="L255" s="407">
        <v>50.088359394390665</v>
      </c>
      <c r="M255" s="407">
        <v>50</v>
      </c>
      <c r="N255" s="407">
        <v>50.063050591492576</v>
      </c>
    </row>
    <row r="256" spans="1:14" ht="14.5">
      <c r="A256" s="471">
        <v>2025</v>
      </c>
      <c r="B256" s="577" t="s">
        <v>105</v>
      </c>
      <c r="C256" s="403">
        <v>50</v>
      </c>
      <c r="D256" s="403">
        <v>50.106712076060738</v>
      </c>
      <c r="E256" s="403">
        <v>50.118553459119497</v>
      </c>
      <c r="F256" s="403">
        <v>50.253914515446468</v>
      </c>
      <c r="G256" s="403">
        <v>50.51457924157728</v>
      </c>
      <c r="H256" s="403">
        <v>49.995104583889628</v>
      </c>
      <c r="I256" s="403">
        <v>50.14653323802716</v>
      </c>
      <c r="J256" s="403">
        <v>50.080528334043457</v>
      </c>
      <c r="K256" s="403">
        <v>50</v>
      </c>
      <c r="L256" s="403">
        <v>50.059705350219694</v>
      </c>
      <c r="M256" s="403">
        <v>50.004884856943477</v>
      </c>
      <c r="N256" s="403">
        <v>50.099324850688134</v>
      </c>
    </row>
    <row r="257" spans="1:14" ht="14.5">
      <c r="A257" s="472"/>
      <c r="B257" s="578" t="s">
        <v>106</v>
      </c>
      <c r="C257" s="405">
        <v>50</v>
      </c>
      <c r="D257" s="405">
        <v>50.10608598548297</v>
      </c>
      <c r="E257" s="405">
        <v>50.134139784946235</v>
      </c>
      <c r="F257" s="405">
        <v>50.081334981458589</v>
      </c>
      <c r="G257" s="405">
        <v>50.4770955165692</v>
      </c>
      <c r="H257" s="405">
        <v>50</v>
      </c>
      <c r="I257" s="405">
        <v>50.005546751188589</v>
      </c>
      <c r="J257" s="405">
        <v>50.074821852731588</v>
      </c>
      <c r="K257" s="405">
        <v>50.011904761904759</v>
      </c>
      <c r="L257" s="405">
        <v>50.032548823234855</v>
      </c>
      <c r="M257" s="405">
        <v>50.028751753155682</v>
      </c>
      <c r="N257" s="405">
        <v>50.171124532643084</v>
      </c>
    </row>
    <row r="258" spans="1:14" ht="14.5">
      <c r="A258" s="472"/>
      <c r="B258" s="578" t="s">
        <v>107</v>
      </c>
      <c r="C258" s="405">
        <v>50</v>
      </c>
      <c r="D258" s="405">
        <v>50.118763580588812</v>
      </c>
      <c r="E258" s="405">
        <v>50.045481049562682</v>
      </c>
      <c r="F258" s="405">
        <v>50.036598167747243</v>
      </c>
      <c r="G258" s="405">
        <v>50.135748872933711</v>
      </c>
      <c r="H258" s="405">
        <v>49.995104583889628</v>
      </c>
      <c r="I258" s="405">
        <v>50.042402826855124</v>
      </c>
      <c r="J258" s="405">
        <v>50.083247621996669</v>
      </c>
      <c r="K258" s="405">
        <v>50.498562074018231</v>
      </c>
      <c r="L258" s="405">
        <v>50.042208822596002</v>
      </c>
      <c r="M258" s="405">
        <v>50.02242469633844</v>
      </c>
      <c r="N258" s="405">
        <v>50.343592261093391</v>
      </c>
    </row>
    <row r="259" spans="1:14" ht="14.5">
      <c r="A259" s="472"/>
      <c r="B259" s="578" t="s">
        <v>108</v>
      </c>
      <c r="C259" s="405">
        <v>50</v>
      </c>
      <c r="D259" s="405">
        <v>50.126544365406218</v>
      </c>
      <c r="E259" s="405">
        <v>50.27723599888548</v>
      </c>
      <c r="F259" s="405">
        <v>50.115795162815836</v>
      </c>
      <c r="G259" s="405">
        <v>49.923281990521325</v>
      </c>
      <c r="H259" s="405">
        <v>50.500921489126426</v>
      </c>
      <c r="I259" s="405">
        <v>50.025910364145659</v>
      </c>
      <c r="J259" s="405">
        <v>50.081141578063793</v>
      </c>
      <c r="K259" s="405">
        <v>50.404907975460119</v>
      </c>
      <c r="L259" s="405">
        <v>50.032582067613916</v>
      </c>
      <c r="M259" s="405">
        <v>50.051074179164978</v>
      </c>
      <c r="N259" s="405">
        <v>50.385028137678312</v>
      </c>
    </row>
    <row r="260" spans="1:14" ht="14.5">
      <c r="A260" s="472"/>
      <c r="B260" s="578" t="s">
        <v>109</v>
      </c>
      <c r="C260" s="405">
        <v>50</v>
      </c>
      <c r="D260" s="405">
        <v>50.035211267605632</v>
      </c>
      <c r="E260" s="405">
        <v>50.078336034575905</v>
      </c>
      <c r="F260" s="405">
        <v>50.033534540576795</v>
      </c>
      <c r="G260" s="405">
        <v>50.331158560695926</v>
      </c>
      <c r="H260" s="405">
        <v>50.101626016260163</v>
      </c>
      <c r="I260" s="405">
        <v>50.006334841628963</v>
      </c>
      <c r="J260" s="405">
        <v>50.086713807219951</v>
      </c>
      <c r="K260" s="405">
        <v>50</v>
      </c>
      <c r="L260" s="405">
        <v>50.148138769308687</v>
      </c>
      <c r="M260" s="405">
        <v>50.001558603491269</v>
      </c>
      <c r="N260" s="405">
        <v>49.978147268408549</v>
      </c>
    </row>
    <row r="261" spans="1:14" ht="14.5">
      <c r="A261" s="472"/>
      <c r="B261" s="578" t="s">
        <v>110</v>
      </c>
      <c r="C261" s="702">
        <v>50</v>
      </c>
      <c r="D261" s="706">
        <v>50.6</v>
      </c>
      <c r="E261" s="706">
        <v>50.1</v>
      </c>
      <c r="F261" s="706">
        <v>50.1</v>
      </c>
      <c r="G261" s="706">
        <v>50.1</v>
      </c>
      <c r="H261" s="706">
        <v>50.6</v>
      </c>
      <c r="I261" s="706">
        <v>50.1</v>
      </c>
      <c r="J261" s="706">
        <v>50.1</v>
      </c>
      <c r="K261" s="706">
        <v>50.1</v>
      </c>
      <c r="L261" s="707">
        <v>50.2</v>
      </c>
      <c r="M261" s="707">
        <v>50</v>
      </c>
      <c r="N261" s="707">
        <v>50.2</v>
      </c>
    </row>
    <row r="262" spans="1:14" ht="14.5">
      <c r="A262" s="472"/>
      <c r="B262" s="578" t="s">
        <v>117</v>
      </c>
      <c r="C262" s="702">
        <v>50</v>
      </c>
      <c r="D262" s="706">
        <v>50.615586206896602</v>
      </c>
      <c r="E262" s="706">
        <v>50.260514018691602</v>
      </c>
      <c r="F262" s="706">
        <v>49.985544955189397</v>
      </c>
      <c r="G262" s="706">
        <v>50.016254731685599</v>
      </c>
      <c r="H262" s="706">
        <v>50.257473841554599</v>
      </c>
      <c r="I262" s="706">
        <v>50.028326180257501</v>
      </c>
      <c r="J262" s="706">
        <v>50.0182699478001</v>
      </c>
      <c r="K262" s="706">
        <v>49.962732919254698</v>
      </c>
      <c r="L262" s="707">
        <v>50.029062870699903</v>
      </c>
      <c r="M262" s="707">
        <v>50.0215745647237</v>
      </c>
      <c r="N262" s="707">
        <v>50.061904761904799</v>
      </c>
    </row>
    <row r="263" spans="1:14" ht="14.5">
      <c r="A263" s="473"/>
      <c r="B263" s="576" t="s">
        <v>112</v>
      </c>
      <c r="C263" s="696">
        <v>50</v>
      </c>
      <c r="D263" s="708">
        <v>50.605284888521901</v>
      </c>
      <c r="E263" s="708">
        <v>50.054177359566602</v>
      </c>
      <c r="F263" s="708">
        <v>49.841522294802601</v>
      </c>
      <c r="G263" s="708">
        <v>50.210012210012202</v>
      </c>
      <c r="H263" s="708">
        <v>50</v>
      </c>
      <c r="I263" s="708">
        <v>50.0823293172691</v>
      </c>
      <c r="J263" s="708">
        <v>50</v>
      </c>
      <c r="K263" s="708">
        <v>50.424778761061901</v>
      </c>
      <c r="L263" s="709">
        <v>50.058443465491898</v>
      </c>
      <c r="M263" s="709">
        <v>50</v>
      </c>
      <c r="N263" s="709">
        <v>50.057884529315203</v>
      </c>
    </row>
    <row r="265" spans="1:14" ht="14.5">
      <c r="A265" s="869" t="s">
        <v>352</v>
      </c>
      <c r="B265" s="869"/>
      <c r="C265" s="869"/>
      <c r="D265" s="869"/>
      <c r="E265" s="869"/>
      <c r="F265" s="869"/>
      <c r="G265" s="869"/>
      <c r="H265" s="869"/>
      <c r="I265" s="869"/>
      <c r="J265" s="869"/>
      <c r="K265" s="869"/>
      <c r="L265" s="869"/>
      <c r="M265" s="869"/>
      <c r="N265" s="869"/>
    </row>
    <row r="266" spans="1:14" ht="19" customHeight="1">
      <c r="A266" s="735" t="s">
        <v>98</v>
      </c>
      <c r="B266" s="739"/>
      <c r="C266" s="863" t="s">
        <v>324</v>
      </c>
      <c r="D266" s="864" t="s">
        <v>338</v>
      </c>
      <c r="E266" s="865"/>
      <c r="F266" s="865"/>
      <c r="G266" s="865"/>
      <c r="H266" s="865"/>
      <c r="I266" s="865"/>
      <c r="J266" s="865"/>
      <c r="K266" s="865"/>
      <c r="L266" s="865"/>
      <c r="M266" s="865"/>
      <c r="N266" s="866"/>
    </row>
    <row r="267" spans="1:14" ht="65.5" customHeight="1">
      <c r="A267" s="740"/>
      <c r="B267" s="741"/>
      <c r="C267" s="738"/>
      <c r="D267" s="556" t="s">
        <v>339</v>
      </c>
      <c r="E267" s="556" t="s">
        <v>215</v>
      </c>
      <c r="F267" s="556" t="s">
        <v>340</v>
      </c>
      <c r="G267" s="556" t="s">
        <v>341</v>
      </c>
      <c r="H267" s="556" t="s">
        <v>342</v>
      </c>
      <c r="I267" s="556" t="s">
        <v>343</v>
      </c>
      <c r="J267" s="557" t="s">
        <v>344</v>
      </c>
      <c r="K267" s="557" t="s">
        <v>345</v>
      </c>
      <c r="L267" s="557" t="s">
        <v>346</v>
      </c>
      <c r="M267" s="478" t="s">
        <v>347</v>
      </c>
      <c r="N267" s="478" t="s">
        <v>348</v>
      </c>
    </row>
    <row r="268" spans="1:14" ht="14.5">
      <c r="A268" s="471">
        <v>2020</v>
      </c>
      <c r="B268" s="558" t="s">
        <v>112</v>
      </c>
      <c r="C268" s="402">
        <v>50</v>
      </c>
      <c r="D268" s="403">
        <v>50.204400283889285</v>
      </c>
      <c r="E268" s="403">
        <v>50.205411178355284</v>
      </c>
      <c r="F268" s="403">
        <v>50.414185905224791</v>
      </c>
      <c r="G268" s="403">
        <v>50.089344909234413</v>
      </c>
      <c r="H268" s="403">
        <v>50.856448476992874</v>
      </c>
      <c r="I268" s="403">
        <v>50.443809523809527</v>
      </c>
      <c r="J268" s="403">
        <v>50.4484104852203</v>
      </c>
      <c r="K268" s="403">
        <v>50.060413354531001</v>
      </c>
      <c r="L268" s="402">
        <v>50.599740512487834</v>
      </c>
      <c r="M268" s="403">
        <v>50.47667731629393</v>
      </c>
      <c r="N268" s="403">
        <v>50.328102893890673</v>
      </c>
    </row>
    <row r="269" spans="1:14">
      <c r="A269" s="449"/>
      <c r="B269" s="559" t="s">
        <v>113</v>
      </c>
      <c r="C269" s="404">
        <v>50</v>
      </c>
      <c r="D269" s="405">
        <v>50.672304439746298</v>
      </c>
      <c r="E269" s="405">
        <v>50.214033850493649</v>
      </c>
      <c r="F269" s="405">
        <v>50.238852316482422</v>
      </c>
      <c r="G269" s="405">
        <v>50.067944250871079</v>
      </c>
      <c r="H269" s="405">
        <v>50.80488588878174</v>
      </c>
      <c r="I269" s="405">
        <v>50.475872308834447</v>
      </c>
      <c r="J269" s="405">
        <v>50.445479239425687</v>
      </c>
      <c r="K269" s="405">
        <v>50.157728706624603</v>
      </c>
      <c r="L269" s="404">
        <v>50.448655795504628</v>
      </c>
      <c r="M269" s="405">
        <v>50.187765505522513</v>
      </c>
      <c r="N269" s="405">
        <v>50.089522700814904</v>
      </c>
    </row>
    <row r="270" spans="1:14">
      <c r="A270" s="449"/>
      <c r="B270" s="559" t="s">
        <v>114</v>
      </c>
      <c r="C270" s="404">
        <v>50</v>
      </c>
      <c r="D270" s="405">
        <v>50.793866020984666</v>
      </c>
      <c r="E270" s="405">
        <v>50.202101359703335</v>
      </c>
      <c r="F270" s="405">
        <v>50.230688248453745</v>
      </c>
      <c r="G270" s="405">
        <v>50.282152682255848</v>
      </c>
      <c r="H270" s="405">
        <v>50.926171490009857</v>
      </c>
      <c r="I270" s="405">
        <v>50.447695035460995</v>
      </c>
      <c r="J270" s="405">
        <v>50.470314318975554</v>
      </c>
      <c r="K270" s="405">
        <v>49.998422712933753</v>
      </c>
      <c r="L270" s="404">
        <v>50.553383458646614</v>
      </c>
      <c r="M270" s="405">
        <v>50.264951768488743</v>
      </c>
      <c r="N270" s="405">
        <v>50.369165487977369</v>
      </c>
    </row>
    <row r="271" spans="1:14">
      <c r="A271" s="449"/>
      <c r="B271" s="559" t="s">
        <v>115</v>
      </c>
      <c r="C271" s="404">
        <v>50</v>
      </c>
      <c r="D271" s="405">
        <v>50.65019102196753</v>
      </c>
      <c r="E271" s="405">
        <v>50.202115352834241</v>
      </c>
      <c r="F271" s="405">
        <v>50.194527838427945</v>
      </c>
      <c r="G271" s="405">
        <v>50.317240840559329</v>
      </c>
      <c r="H271" s="405">
        <v>50.76735092864125</v>
      </c>
      <c r="I271" s="405">
        <v>50.372788542544228</v>
      </c>
      <c r="J271" s="405">
        <v>50.548117966627863</v>
      </c>
      <c r="K271" s="405">
        <v>50.030947775628626</v>
      </c>
      <c r="L271" s="404">
        <v>50.404224112643007</v>
      </c>
      <c r="M271" s="405">
        <v>50.44043126684636</v>
      </c>
      <c r="N271" s="405">
        <v>50.325772480037031</v>
      </c>
    </row>
    <row r="272" spans="1:14">
      <c r="A272" s="449"/>
      <c r="B272" s="560" t="s">
        <v>116</v>
      </c>
      <c r="C272" s="406">
        <v>50</v>
      </c>
      <c r="D272" s="407">
        <v>50.79807828175781</v>
      </c>
      <c r="E272" s="407">
        <v>50.174191750278709</v>
      </c>
      <c r="F272" s="407">
        <v>50.299376299376299</v>
      </c>
      <c r="G272" s="407">
        <v>50.19865935405241</v>
      </c>
      <c r="H272" s="407">
        <v>50.732821764911058</v>
      </c>
      <c r="I272" s="407">
        <v>50.432533733133432</v>
      </c>
      <c r="J272" s="407">
        <v>50.369033760186262</v>
      </c>
      <c r="K272" s="407">
        <v>50.077669902912625</v>
      </c>
      <c r="L272" s="406">
        <v>50.081456456456458</v>
      </c>
      <c r="M272" s="407">
        <v>49.77524677296887</v>
      </c>
      <c r="N272" s="407">
        <v>50.254507985574449</v>
      </c>
    </row>
    <row r="273" spans="1:14" ht="14.5">
      <c r="A273" s="471">
        <v>2021</v>
      </c>
      <c r="B273" s="559" t="s">
        <v>105</v>
      </c>
      <c r="C273" s="404">
        <v>50</v>
      </c>
      <c r="D273" s="405">
        <v>50.25851819631724</v>
      </c>
      <c r="E273" s="405">
        <v>50.185830429732867</v>
      </c>
      <c r="F273" s="405">
        <v>50.222693997071744</v>
      </c>
      <c r="G273" s="405">
        <v>50.376432828977535</v>
      </c>
      <c r="H273" s="405">
        <v>50.752480606169946</v>
      </c>
      <c r="I273" s="405">
        <v>50.447007930785865</v>
      </c>
      <c r="J273" s="405">
        <v>50.432884536923702</v>
      </c>
      <c r="K273" s="405">
        <v>50.123595505617978</v>
      </c>
      <c r="L273" s="404">
        <v>50.721639950678174</v>
      </c>
      <c r="M273" s="403">
        <v>50.055878084179973</v>
      </c>
      <c r="N273" s="403">
        <v>50.626486264862649</v>
      </c>
    </row>
    <row r="274" spans="1:14">
      <c r="A274" s="449"/>
      <c r="B274" s="559" t="s">
        <v>106</v>
      </c>
      <c r="C274" s="404">
        <v>50</v>
      </c>
      <c r="D274" s="405">
        <v>49.962896334607599</v>
      </c>
      <c r="E274" s="405">
        <v>50.275141643059492</v>
      </c>
      <c r="F274" s="405">
        <v>50.435841032409442</v>
      </c>
      <c r="G274" s="405">
        <v>50.0374254575365</v>
      </c>
      <c r="H274" s="405">
        <v>50.779001944264422</v>
      </c>
      <c r="I274" s="405">
        <v>50.758858267716533</v>
      </c>
      <c r="J274" s="405">
        <v>50.415340677274585</v>
      </c>
      <c r="K274" s="405">
        <v>50.007984031936125</v>
      </c>
      <c r="L274" s="404">
        <v>50.194346289752652</v>
      </c>
      <c r="M274" s="405">
        <v>50.223180076628353</v>
      </c>
      <c r="N274" s="405">
        <v>50.476681394207169</v>
      </c>
    </row>
    <row r="275" spans="1:14">
      <c r="A275" s="449"/>
      <c r="B275" s="559" t="s">
        <v>107</v>
      </c>
      <c r="C275" s="404">
        <v>50</v>
      </c>
      <c r="D275" s="405">
        <v>50.715266127802352</v>
      </c>
      <c r="E275" s="405">
        <v>50.147106369220822</v>
      </c>
      <c r="F275" s="405">
        <v>50.244504710248357</v>
      </c>
      <c r="G275" s="405">
        <v>50.282064928153275</v>
      </c>
      <c r="H275" s="405">
        <v>50.759584378359008</v>
      </c>
      <c r="I275" s="405">
        <v>50.462894248608535</v>
      </c>
      <c r="J275" s="405">
        <v>50.402405898331395</v>
      </c>
      <c r="K275" s="405">
        <v>50.277688603531303</v>
      </c>
      <c r="L275" s="404">
        <v>50.490715268225586</v>
      </c>
      <c r="M275" s="405">
        <v>50.426785714285714</v>
      </c>
      <c r="N275" s="405">
        <v>50.556874132054034</v>
      </c>
    </row>
    <row r="276" spans="1:14">
      <c r="A276" s="449"/>
      <c r="B276" s="559" t="s">
        <v>108</v>
      </c>
      <c r="C276" s="404">
        <v>50</v>
      </c>
      <c r="D276" s="405">
        <v>50.199123447772095</v>
      </c>
      <c r="E276" s="405">
        <v>50.184499314128942</v>
      </c>
      <c r="F276" s="405">
        <v>50.024811514736122</v>
      </c>
      <c r="G276" s="405">
        <v>50.067976633032394</v>
      </c>
      <c r="H276" s="405">
        <v>50.306406685236766</v>
      </c>
      <c r="I276" s="405">
        <v>50.661106233538192</v>
      </c>
      <c r="J276" s="405">
        <v>50.09001551991723</v>
      </c>
      <c r="K276" s="405">
        <v>50.270627062706268</v>
      </c>
      <c r="L276" s="404">
        <v>50.443241571296006</v>
      </c>
      <c r="M276" s="405">
        <v>50.138099106417549</v>
      </c>
      <c r="N276" s="405">
        <v>50.542168674698793</v>
      </c>
    </row>
    <row r="277" spans="1:14">
      <c r="A277" s="449"/>
      <c r="B277" s="559" t="s">
        <v>109</v>
      </c>
      <c r="C277" s="404">
        <v>50</v>
      </c>
      <c r="D277" s="405">
        <v>50.296239447429009</v>
      </c>
      <c r="E277" s="405">
        <v>50.329674099485423</v>
      </c>
      <c r="F277" s="405">
        <v>50.126773515501839</v>
      </c>
      <c r="G277" s="405">
        <v>50.206019930852143</v>
      </c>
      <c r="H277" s="405">
        <v>50.667185069984448</v>
      </c>
      <c r="I277" s="405">
        <v>50.443487621097958</v>
      </c>
      <c r="J277" s="405">
        <v>50.675642594859241</v>
      </c>
      <c r="K277" s="405">
        <v>50.378205128205131</v>
      </c>
      <c r="L277" s="404">
        <v>50.377611940298507</v>
      </c>
      <c r="M277" s="405">
        <v>50.740066225165563</v>
      </c>
      <c r="N277" s="405">
        <v>50.036009445100355</v>
      </c>
    </row>
    <row r="278" spans="1:14">
      <c r="A278" s="449"/>
      <c r="B278" s="559" t="s">
        <v>110</v>
      </c>
      <c r="C278" s="404">
        <v>50</v>
      </c>
      <c r="D278" s="405">
        <v>50.226153619342476</v>
      </c>
      <c r="E278" s="405">
        <v>50.026475849731661</v>
      </c>
      <c r="F278" s="405">
        <v>50.012851292190369</v>
      </c>
      <c r="G278" s="405">
        <v>50.115243243243242</v>
      </c>
      <c r="H278" s="405">
        <v>50.164597374955655</v>
      </c>
      <c r="I278" s="405">
        <v>50.604060913705581</v>
      </c>
      <c r="J278" s="405">
        <v>50.336597307221545</v>
      </c>
      <c r="K278" s="405">
        <v>50.265905383360518</v>
      </c>
      <c r="L278" s="404">
        <v>50.128215942640239</v>
      </c>
      <c r="M278" s="405">
        <v>50.194615384615382</v>
      </c>
      <c r="N278" s="405">
        <v>50.460859977949283</v>
      </c>
    </row>
    <row r="279" spans="1:14">
      <c r="A279" s="449"/>
      <c r="B279" s="559" t="s">
        <v>117</v>
      </c>
      <c r="C279" s="404">
        <v>50</v>
      </c>
      <c r="D279" s="405">
        <v>50.865110449631835</v>
      </c>
      <c r="E279" s="405">
        <v>50.060030395136778</v>
      </c>
      <c r="F279" s="405">
        <v>50.023745960376566</v>
      </c>
      <c r="G279" s="405">
        <v>50.223748151278258</v>
      </c>
      <c r="H279" s="405">
        <v>50.046100519930675</v>
      </c>
      <c r="I279" s="405">
        <v>50.493136219640974</v>
      </c>
      <c r="J279" s="405">
        <v>50.397796817625462</v>
      </c>
      <c r="K279" s="405">
        <v>50.208931419457734</v>
      </c>
      <c r="L279" s="404">
        <v>50.536484245439468</v>
      </c>
      <c r="M279" s="405">
        <v>50.306980656013458</v>
      </c>
      <c r="N279" s="405">
        <v>50.426359666534339</v>
      </c>
    </row>
    <row r="280" spans="1:14">
      <c r="A280" s="449"/>
      <c r="B280" s="559" t="s">
        <v>112</v>
      </c>
      <c r="C280" s="404">
        <v>50</v>
      </c>
      <c r="D280" s="405">
        <v>50.777348279860846</v>
      </c>
      <c r="E280" s="405">
        <v>50.105941005400915</v>
      </c>
      <c r="F280" s="405">
        <v>50.090237194912341</v>
      </c>
      <c r="G280" s="405">
        <v>49.998107852412488</v>
      </c>
      <c r="H280" s="405">
        <v>49.633547008547012</v>
      </c>
      <c r="I280" s="405">
        <v>50.434002111932415</v>
      </c>
      <c r="J280" s="405">
        <v>50.094756790903347</v>
      </c>
      <c r="K280" s="405">
        <v>49.705107084019772</v>
      </c>
      <c r="L280" s="404">
        <v>50.3003367003367</v>
      </c>
      <c r="M280" s="405">
        <v>50.048387096774192</v>
      </c>
      <c r="N280" s="405">
        <v>50.397207579427267</v>
      </c>
    </row>
    <row r="281" spans="1:14">
      <c r="A281" s="449"/>
      <c r="B281" s="559" t="s">
        <v>113</v>
      </c>
      <c r="C281" s="404">
        <v>50</v>
      </c>
      <c r="D281" s="405">
        <v>50.706799480294499</v>
      </c>
      <c r="E281" s="405">
        <v>50.097907059240868</v>
      </c>
      <c r="F281" s="405">
        <v>50.114055097385503</v>
      </c>
      <c r="G281" s="405">
        <v>49.889733840304181</v>
      </c>
      <c r="H281" s="405">
        <v>50.071794871794872</v>
      </c>
      <c r="I281" s="405">
        <v>50.246743295019158</v>
      </c>
      <c r="J281" s="405">
        <v>50.567582725743129</v>
      </c>
      <c r="K281" s="405">
        <v>50.057851239669418</v>
      </c>
      <c r="L281" s="404">
        <v>49.988578680203048</v>
      </c>
      <c r="M281" s="405">
        <v>49.527272727272724</v>
      </c>
      <c r="N281" s="405">
        <v>50.10089176429446</v>
      </c>
    </row>
    <row r="282" spans="1:14">
      <c r="A282" s="449"/>
      <c r="B282" s="559" t="s">
        <v>114</v>
      </c>
      <c r="C282" s="404">
        <v>50</v>
      </c>
      <c r="D282" s="405">
        <v>50.511505406154697</v>
      </c>
      <c r="E282" s="405">
        <v>50.057256990679093</v>
      </c>
      <c r="F282" s="405">
        <v>50.115644820295984</v>
      </c>
      <c r="G282" s="405">
        <v>49.808041722745628</v>
      </c>
      <c r="H282" s="405">
        <v>50.643192488262912</v>
      </c>
      <c r="I282" s="405">
        <v>50.0812685827552</v>
      </c>
      <c r="J282" s="405">
        <v>50.660759493670888</v>
      </c>
      <c r="K282" s="405">
        <v>50.147424511545296</v>
      </c>
      <c r="L282" s="404">
        <v>50.099381017881704</v>
      </c>
      <c r="M282" s="405">
        <v>50.201149425287355</v>
      </c>
      <c r="N282" s="405">
        <v>50.157953281423801</v>
      </c>
    </row>
    <row r="283" spans="1:14">
      <c r="A283" s="449"/>
      <c r="B283" s="559" t="s">
        <v>115</v>
      </c>
      <c r="C283" s="404">
        <v>50</v>
      </c>
      <c r="D283" s="405">
        <v>50.754326166754062</v>
      </c>
      <c r="E283" s="405">
        <v>50.224940536867145</v>
      </c>
      <c r="F283" s="405">
        <v>50.541208791208788</v>
      </c>
      <c r="G283" s="405">
        <v>49.902743951940252</v>
      </c>
      <c r="H283" s="405">
        <v>49.790297339593117</v>
      </c>
      <c r="I283" s="405">
        <v>50.578305519897306</v>
      </c>
      <c r="J283" s="405">
        <v>50.62341772151899</v>
      </c>
      <c r="K283" s="405">
        <v>50.662835249042146</v>
      </c>
      <c r="L283" s="404">
        <v>50.624582869855395</v>
      </c>
      <c r="M283" s="405">
        <v>49.347517730496456</v>
      </c>
      <c r="N283" s="405">
        <v>50.374624624624623</v>
      </c>
    </row>
    <row r="284" spans="1:14">
      <c r="A284" s="451"/>
      <c r="B284" s="560" t="s">
        <v>116</v>
      </c>
      <c r="C284" s="406">
        <v>50</v>
      </c>
      <c r="D284" s="407">
        <v>50.744453145392846</v>
      </c>
      <c r="E284" s="409">
        <v>50.289679947746571</v>
      </c>
      <c r="F284" s="410">
        <v>50.474585411891603</v>
      </c>
      <c r="G284" s="410">
        <v>49.955362877328199</v>
      </c>
      <c r="H284" s="410">
        <v>50.751301115241638</v>
      </c>
      <c r="I284" s="407">
        <v>50.561262376237622</v>
      </c>
      <c r="J284" s="407">
        <v>50.050346420323322</v>
      </c>
      <c r="K284" s="409">
        <v>50.338487972508588</v>
      </c>
      <c r="L284" s="407">
        <v>50.549001248439453</v>
      </c>
      <c r="M284" s="407">
        <v>50.113938053097343</v>
      </c>
      <c r="N284" s="406">
        <v>50.66585588324719</v>
      </c>
    </row>
    <row r="285" spans="1:14" ht="14.5">
      <c r="A285" s="471">
        <v>2022</v>
      </c>
      <c r="B285" s="577" t="s">
        <v>105</v>
      </c>
      <c r="C285" s="403">
        <v>50</v>
      </c>
      <c r="D285" s="403">
        <v>50.369557394746309</v>
      </c>
      <c r="E285" s="403">
        <v>50.289199642963403</v>
      </c>
      <c r="F285" s="403">
        <v>50.255103367572488</v>
      </c>
      <c r="G285" s="403">
        <v>50.296694995278564</v>
      </c>
      <c r="H285" s="403">
        <v>50.6</v>
      </c>
      <c r="I285" s="403">
        <v>50.104354971240753</v>
      </c>
      <c r="J285" s="403">
        <v>50.438167259786475</v>
      </c>
      <c r="K285" s="403">
        <v>50.28130081300813</v>
      </c>
      <c r="L285" s="403">
        <v>50.384488448844884</v>
      </c>
      <c r="M285" s="403">
        <v>49.957152729785761</v>
      </c>
      <c r="N285" s="403">
        <v>50.515912897822446</v>
      </c>
    </row>
    <row r="286" spans="1:14" ht="14.5">
      <c r="A286" s="472"/>
      <c r="B286" s="578" t="s">
        <v>106</v>
      </c>
      <c r="C286" s="405">
        <v>50</v>
      </c>
      <c r="D286" s="405">
        <v>50.901114881240915</v>
      </c>
      <c r="E286" s="405">
        <v>50.226255293405927</v>
      </c>
      <c r="F286" s="405">
        <v>50.30787894266377</v>
      </c>
      <c r="G286" s="405">
        <v>50.253488372093024</v>
      </c>
      <c r="H286" s="405">
        <v>50.096054204862497</v>
      </c>
      <c r="I286" s="405">
        <v>50.469387755102041</v>
      </c>
      <c r="J286" s="405">
        <v>49.926601423487547</v>
      </c>
      <c r="K286" s="405">
        <v>50.757281553398059</v>
      </c>
      <c r="L286" s="405">
        <v>50.353623188405798</v>
      </c>
      <c r="M286" s="405">
        <v>50.50614250614251</v>
      </c>
      <c r="N286" s="405">
        <v>50.683489176380171</v>
      </c>
    </row>
    <row r="287" spans="1:14" ht="14.5">
      <c r="A287" s="472"/>
      <c r="B287" s="578" t="s">
        <v>107</v>
      </c>
      <c r="C287" s="405">
        <v>50</v>
      </c>
      <c r="D287" s="405">
        <v>50.067694944301628</v>
      </c>
      <c r="E287" s="405">
        <v>50.23860357761108</v>
      </c>
      <c r="F287" s="405">
        <v>49.904084076094186</v>
      </c>
      <c r="G287" s="405">
        <v>49.860563609708421</v>
      </c>
      <c r="H287" s="405">
        <v>50.13133333333333</v>
      </c>
      <c r="I287" s="405">
        <v>50.556306306306304</v>
      </c>
      <c r="J287" s="405">
        <v>50.040480427046262</v>
      </c>
      <c r="K287" s="405">
        <v>50.293220338983048</v>
      </c>
      <c r="L287" s="405">
        <v>50.250201992997575</v>
      </c>
      <c r="M287" s="405">
        <v>50.257558790593507</v>
      </c>
      <c r="N287" s="405">
        <v>50.438098987733895</v>
      </c>
    </row>
    <row r="288" spans="1:14" ht="14.5">
      <c r="A288" s="472"/>
      <c r="B288" s="578" t="s">
        <v>108</v>
      </c>
      <c r="C288" s="405">
        <v>50</v>
      </c>
      <c r="D288" s="405">
        <v>50.334803427419352</v>
      </c>
      <c r="E288" s="405">
        <v>50.071088310736535</v>
      </c>
      <c r="F288" s="405">
        <v>49.940791197275345</v>
      </c>
      <c r="G288" s="405">
        <v>50.245881038815973</v>
      </c>
      <c r="H288" s="405">
        <v>50.123854891901793</v>
      </c>
      <c r="I288" s="405">
        <v>50.660349854227405</v>
      </c>
      <c r="J288" s="405">
        <v>50.409252669039148</v>
      </c>
      <c r="K288" s="405">
        <v>50.335051546391753</v>
      </c>
      <c r="L288" s="405">
        <v>50.644740924604406</v>
      </c>
      <c r="M288" s="405">
        <v>50.117924528301884</v>
      </c>
      <c r="N288" s="405">
        <v>50.203279306583113</v>
      </c>
    </row>
    <row r="289" spans="1:14" ht="14.5">
      <c r="A289" s="472"/>
      <c r="B289" s="578" t="s">
        <v>109</v>
      </c>
      <c r="C289" s="405">
        <v>50</v>
      </c>
      <c r="D289" s="405">
        <v>50.491632577166236</v>
      </c>
      <c r="E289" s="405">
        <v>50.230055658627087</v>
      </c>
      <c r="F289" s="405">
        <v>50.003053823641686</v>
      </c>
      <c r="G289" s="405">
        <v>50.041192330736969</v>
      </c>
      <c r="H289" s="405">
        <v>50.850661625708888</v>
      </c>
      <c r="I289" s="405">
        <v>50.568318318318319</v>
      </c>
      <c r="J289" s="405">
        <v>50.363434163701065</v>
      </c>
      <c r="K289" s="405">
        <v>50.217247097844115</v>
      </c>
      <c r="L289" s="405">
        <v>50.354172185430464</v>
      </c>
      <c r="M289" s="405">
        <v>50.160033167495854</v>
      </c>
      <c r="N289" s="405">
        <v>50.002557297483911</v>
      </c>
    </row>
    <row r="290" spans="1:14" ht="14.5">
      <c r="A290" s="472"/>
      <c r="B290" s="578" t="s">
        <v>110</v>
      </c>
      <c r="C290" s="405">
        <v>50</v>
      </c>
      <c r="D290" s="405">
        <v>50.866148867313917</v>
      </c>
      <c r="E290" s="405">
        <v>50.10690161527166</v>
      </c>
      <c r="F290" s="405">
        <v>50.07631645891631</v>
      </c>
      <c r="G290" s="405">
        <v>50.332275971451232</v>
      </c>
      <c r="H290" s="405">
        <v>50.085850556438793</v>
      </c>
      <c r="I290" s="405">
        <v>50.589233038348084</v>
      </c>
      <c r="J290" s="405">
        <v>50.066281138790039</v>
      </c>
      <c r="K290" s="405">
        <v>50.059548254620125</v>
      </c>
      <c r="L290" s="405">
        <v>50.693891102257638</v>
      </c>
      <c r="M290" s="405">
        <v>49.98910081743869</v>
      </c>
      <c r="N290" s="405">
        <v>50.379357794310586</v>
      </c>
    </row>
    <row r="291" spans="1:14" ht="14.5">
      <c r="A291" s="472"/>
      <c r="B291" s="578" t="s">
        <v>117</v>
      </c>
      <c r="C291" s="405">
        <v>50</v>
      </c>
      <c r="D291" s="405">
        <v>50.285408266129032</v>
      </c>
      <c r="E291" s="405">
        <v>50.224658404829995</v>
      </c>
      <c r="F291" s="405">
        <v>50.513836294785904</v>
      </c>
      <c r="G291" s="405">
        <v>50.060946271050518</v>
      </c>
      <c r="H291" s="405">
        <v>49.952228163992871</v>
      </c>
      <c r="I291" s="405">
        <v>50.447517730496457</v>
      </c>
      <c r="J291" s="405">
        <v>50.156705539358597</v>
      </c>
      <c r="K291" s="405">
        <v>50.048117154811713</v>
      </c>
      <c r="L291" s="405">
        <v>50.72291390728477</v>
      </c>
      <c r="M291" s="405">
        <v>50.395256916996047</v>
      </c>
      <c r="N291" s="405">
        <v>50.362158704388222</v>
      </c>
    </row>
    <row r="292" spans="1:14" ht="14.5">
      <c r="A292" s="472"/>
      <c r="B292" s="578" t="s">
        <v>112</v>
      </c>
      <c r="C292" s="405">
        <v>50</v>
      </c>
      <c r="D292" s="405">
        <v>50.933351655902158</v>
      </c>
      <c r="E292" s="405">
        <v>50.277065721298065</v>
      </c>
      <c r="F292" s="405">
        <v>50.261253909968723</v>
      </c>
      <c r="G292" s="405">
        <v>50.271719858156025</v>
      </c>
      <c r="H292" s="405">
        <v>50.157166392092257</v>
      </c>
      <c r="I292" s="405">
        <v>50.458113649677799</v>
      </c>
      <c r="J292" s="405">
        <v>50.466637010676159</v>
      </c>
      <c r="K292" s="405">
        <v>50.243333333333332</v>
      </c>
      <c r="L292" s="405">
        <v>50.804813839789396</v>
      </c>
      <c r="M292" s="405">
        <v>50.249500998003995</v>
      </c>
      <c r="N292" s="405">
        <v>50.273523556184394</v>
      </c>
    </row>
    <row r="293" spans="1:14" ht="14.5">
      <c r="A293" s="472"/>
      <c r="B293" s="578" t="s">
        <v>113</v>
      </c>
      <c r="C293" s="405">
        <v>50</v>
      </c>
      <c r="D293" s="405">
        <v>50.275703324808184</v>
      </c>
      <c r="E293" s="405">
        <v>50.157079646017699</v>
      </c>
      <c r="F293" s="405">
        <v>50.138871763255239</v>
      </c>
      <c r="G293" s="405">
        <v>49.899594907407405</v>
      </c>
      <c r="H293" s="405">
        <v>50.060975609756099</v>
      </c>
      <c r="I293" s="405">
        <v>50.492879256965942</v>
      </c>
      <c r="J293" s="405">
        <v>50.363434163701065</v>
      </c>
      <c r="K293" s="405">
        <v>50.196891191709845</v>
      </c>
      <c r="L293" s="405">
        <v>50.614569961489089</v>
      </c>
      <c r="M293" s="405">
        <v>50.205357142857146</v>
      </c>
      <c r="N293" s="405">
        <v>50.060599142191137</v>
      </c>
    </row>
    <row r="294" spans="1:14" ht="14.5">
      <c r="A294" s="472"/>
      <c r="B294" s="578" t="s">
        <v>114</v>
      </c>
      <c r="C294" s="405">
        <v>50</v>
      </c>
      <c r="D294" s="405">
        <v>50.240257234726691</v>
      </c>
      <c r="E294" s="405">
        <v>50.180114099429503</v>
      </c>
      <c r="F294" s="405">
        <v>49.8420175704332</v>
      </c>
      <c r="G294" s="405">
        <v>50.272024504084015</v>
      </c>
      <c r="H294" s="405">
        <v>50.180367118914603</v>
      </c>
      <c r="I294" s="405">
        <v>50.411731207289293</v>
      </c>
      <c r="J294" s="405">
        <v>50.41338432122371</v>
      </c>
      <c r="K294" s="405">
        <v>50.109014675052414</v>
      </c>
      <c r="L294" s="405">
        <v>50.623852997596067</v>
      </c>
      <c r="M294" s="405">
        <v>50.086727062120772</v>
      </c>
      <c r="N294" s="405">
        <v>49.92389902774643</v>
      </c>
    </row>
    <row r="295" spans="1:14" ht="14.5">
      <c r="A295" s="472"/>
      <c r="B295" s="578" t="s">
        <v>115</v>
      </c>
      <c r="C295" s="405">
        <v>50</v>
      </c>
      <c r="D295" s="405">
        <v>49.990607308286158</v>
      </c>
      <c r="E295" s="405">
        <v>50.18958887902987</v>
      </c>
      <c r="F295" s="405">
        <v>49.774834437086092</v>
      </c>
      <c r="G295" s="405">
        <v>50.107700690156193</v>
      </c>
      <c r="H295" s="405">
        <v>50.579470198675494</v>
      </c>
      <c r="I295" s="405">
        <v>50.169331395348834</v>
      </c>
      <c r="J295" s="405">
        <v>50.412595419847328</v>
      </c>
      <c r="K295" s="405">
        <v>50.244247787610618</v>
      </c>
      <c r="L295" s="405">
        <v>50.397666607242037</v>
      </c>
      <c r="M295" s="405">
        <v>50.019945605307974</v>
      </c>
      <c r="N295" s="405">
        <v>50.404203630672207</v>
      </c>
    </row>
    <row r="296" spans="1:14" ht="14.5">
      <c r="A296" s="473"/>
      <c r="B296" s="576" t="s">
        <v>116</v>
      </c>
      <c r="C296" s="407">
        <v>50</v>
      </c>
      <c r="D296" s="407">
        <v>50.753454057679413</v>
      </c>
      <c r="E296" s="407">
        <v>50.143825069294735</v>
      </c>
      <c r="F296" s="407">
        <v>49.895087719298246</v>
      </c>
      <c r="G296" s="407">
        <v>50.397780110994454</v>
      </c>
      <c r="H296" s="407">
        <v>50.040898155573373</v>
      </c>
      <c r="I296" s="407">
        <v>50.198436560432953</v>
      </c>
      <c r="J296" s="407">
        <v>50.420610687022901</v>
      </c>
      <c r="K296" s="407">
        <v>50.228222996515676</v>
      </c>
      <c r="L296" s="407">
        <v>50.567808265248857</v>
      </c>
      <c r="M296" s="407">
        <v>50.200819672131146</v>
      </c>
      <c r="N296" s="407">
        <v>50.430517692959768</v>
      </c>
    </row>
    <row r="297" spans="1:14" ht="14.5">
      <c r="A297" s="471">
        <v>2023</v>
      </c>
      <c r="B297" s="558" t="s">
        <v>105</v>
      </c>
      <c r="C297" s="403">
        <v>50</v>
      </c>
      <c r="D297" s="403">
        <v>50.947441043652788</v>
      </c>
      <c r="E297" s="403">
        <v>50.006421088205478</v>
      </c>
      <c r="F297" s="403">
        <v>50.247287177135867</v>
      </c>
      <c r="G297" s="403">
        <v>50.05573770491803</v>
      </c>
      <c r="H297" s="403">
        <v>50.198202054794521</v>
      </c>
      <c r="I297" s="403">
        <v>50.502779493514517</v>
      </c>
      <c r="J297" s="403">
        <v>50.390253261703762</v>
      </c>
      <c r="K297" s="403">
        <v>50.202054794520549</v>
      </c>
      <c r="L297" s="403">
        <v>50.100824690308777</v>
      </c>
      <c r="M297" s="403">
        <v>49.936493832592305</v>
      </c>
      <c r="N297" s="403">
        <v>50.637753820939821</v>
      </c>
    </row>
    <row r="298" spans="1:14" ht="14.5">
      <c r="A298" s="472"/>
      <c r="B298" s="559" t="s">
        <v>106</v>
      </c>
      <c r="C298" s="405">
        <v>50</v>
      </c>
      <c r="D298" s="405">
        <v>50.695140470766894</v>
      </c>
      <c r="E298" s="405">
        <v>50.140356265356267</v>
      </c>
      <c r="F298" s="405">
        <v>50.374052478134111</v>
      </c>
      <c r="G298" s="405">
        <v>50.029053583855251</v>
      </c>
      <c r="H298" s="405">
        <v>50.886415963161937</v>
      </c>
      <c r="I298" s="405">
        <v>50.39184177997528</v>
      </c>
      <c r="J298" s="405">
        <v>50.068303914044513</v>
      </c>
      <c r="K298" s="405">
        <v>50.260416666666664</v>
      </c>
      <c r="L298" s="405">
        <v>50.40981835118297</v>
      </c>
      <c r="M298" s="405">
        <v>49.967844679657851</v>
      </c>
      <c r="N298" s="405">
        <v>50.4798690087609</v>
      </c>
    </row>
    <row r="299" spans="1:14" ht="14.5">
      <c r="A299" s="472"/>
      <c r="B299" s="559" t="s">
        <v>107</v>
      </c>
      <c r="C299" s="405">
        <v>50</v>
      </c>
      <c r="D299" s="405">
        <v>50.399021575514297</v>
      </c>
      <c r="E299" s="405">
        <v>49.979640011802893</v>
      </c>
      <c r="F299" s="405">
        <v>50.174128627679742</v>
      </c>
      <c r="G299" s="405">
        <v>49.979174020472996</v>
      </c>
      <c r="H299" s="405">
        <v>50.599218410768565</v>
      </c>
      <c r="I299" s="405">
        <v>50.231400117164618</v>
      </c>
      <c r="J299" s="405">
        <v>50.017267843438219</v>
      </c>
      <c r="K299" s="405">
        <v>50.084016393442624</v>
      </c>
      <c r="L299" s="405">
        <v>50.619520451875111</v>
      </c>
      <c r="M299" s="405">
        <v>50.496829514025649</v>
      </c>
      <c r="N299" s="405">
        <v>50.352776523058488</v>
      </c>
    </row>
    <row r="300" spans="1:14" ht="14.5">
      <c r="A300" s="472"/>
      <c r="B300" s="559" t="s">
        <v>108</v>
      </c>
      <c r="C300" s="405">
        <v>50</v>
      </c>
      <c r="D300" s="405">
        <v>49.729482488238368</v>
      </c>
      <c r="E300" s="405">
        <v>50.086323628977659</v>
      </c>
      <c r="F300" s="405">
        <v>49.967136150234744</v>
      </c>
      <c r="G300" s="405">
        <v>50.120190610660075</v>
      </c>
      <c r="H300" s="405">
        <v>50.790864308105689</v>
      </c>
      <c r="I300" s="405">
        <v>50.533491404860698</v>
      </c>
      <c r="J300" s="405">
        <v>50.07175748273216</v>
      </c>
      <c r="K300" s="405">
        <v>50.25</v>
      </c>
      <c r="L300" s="405">
        <v>50.225009800078404</v>
      </c>
      <c r="M300" s="405">
        <v>50.449923371136904</v>
      </c>
      <c r="N300" s="405">
        <v>50.035945549799727</v>
      </c>
    </row>
    <row r="301" spans="1:14" ht="14.5">
      <c r="A301" s="472"/>
      <c r="B301" s="559" t="s">
        <v>109</v>
      </c>
      <c r="C301" s="405">
        <v>50</v>
      </c>
      <c r="D301" s="405">
        <v>49.813901345291477</v>
      </c>
      <c r="E301" s="405">
        <v>50.207661290322584</v>
      </c>
      <c r="F301" s="405">
        <v>50.131493099121705</v>
      </c>
      <c r="G301" s="405">
        <v>50.150061500615003</v>
      </c>
      <c r="H301" s="405">
        <v>50.218674407353653</v>
      </c>
      <c r="I301" s="405">
        <v>50.104379124175168</v>
      </c>
      <c r="J301" s="405">
        <v>50.414811972371453</v>
      </c>
      <c r="K301" s="405">
        <v>50.188299817184642</v>
      </c>
      <c r="L301" s="405">
        <v>50.508674621750018</v>
      </c>
      <c r="M301" s="405">
        <v>50.104000497810006</v>
      </c>
      <c r="N301" s="405">
        <v>50.200411910310265</v>
      </c>
    </row>
    <row r="302" spans="1:14" ht="14.5">
      <c r="A302" s="472"/>
      <c r="B302" s="559" t="s">
        <v>110</v>
      </c>
      <c r="C302" s="405">
        <v>50</v>
      </c>
      <c r="D302" s="405">
        <v>50.08603365988445</v>
      </c>
      <c r="E302" s="405">
        <v>50.108500772797527</v>
      </c>
      <c r="F302" s="405">
        <v>50.278677900194424</v>
      </c>
      <c r="G302" s="405">
        <v>50.116444606680048</v>
      </c>
      <c r="H302" s="405">
        <v>50.453360080240721</v>
      </c>
      <c r="I302" s="405">
        <v>50.514131088394471</v>
      </c>
      <c r="J302" s="405">
        <v>50.333077513430545</v>
      </c>
      <c r="K302" s="405">
        <v>50.252595155709344</v>
      </c>
      <c r="L302" s="405">
        <v>50.474969244426696</v>
      </c>
      <c r="M302" s="405">
        <v>50.334118231707436</v>
      </c>
      <c r="N302" s="405">
        <v>50.401001935557325</v>
      </c>
    </row>
    <row r="303" spans="1:14" ht="14.5">
      <c r="A303" s="472"/>
      <c r="B303" s="559" t="s">
        <v>117</v>
      </c>
      <c r="C303" s="405">
        <v>50</v>
      </c>
      <c r="D303" s="405">
        <v>50.058286155429748</v>
      </c>
      <c r="E303" s="405">
        <v>50.160596501290506</v>
      </c>
      <c r="F303" s="405">
        <v>49.887297633872976</v>
      </c>
      <c r="G303" s="405">
        <v>50.124606175173284</v>
      </c>
      <c r="H303" s="405">
        <v>50.082455336692625</v>
      </c>
      <c r="I303" s="405">
        <v>50.498015873015873</v>
      </c>
      <c r="J303" s="405">
        <v>50.009209516500384</v>
      </c>
      <c r="K303" s="405">
        <v>50.206831119544589</v>
      </c>
      <c r="L303" s="405">
        <v>50.451169699220202</v>
      </c>
      <c r="M303" s="405">
        <v>50.4296953182116</v>
      </c>
      <c r="N303" s="405">
        <v>50.59607479114176</v>
      </c>
    </row>
    <row r="304" spans="1:14" ht="14.5">
      <c r="A304" s="472"/>
      <c r="B304" s="578" t="s">
        <v>112</v>
      </c>
      <c r="C304" s="405">
        <v>50</v>
      </c>
      <c r="D304" s="405">
        <v>50.588630136986303</v>
      </c>
      <c r="E304" s="405">
        <v>50.099476439790578</v>
      </c>
      <c r="F304" s="405">
        <v>50.107880958941855</v>
      </c>
      <c r="G304" s="405">
        <v>50.151600422089345</v>
      </c>
      <c r="H304" s="405">
        <v>50.106679481018737</v>
      </c>
      <c r="I304" s="405">
        <v>50.531941031941031</v>
      </c>
      <c r="J304" s="405">
        <v>50.355717574827324</v>
      </c>
      <c r="K304" s="405">
        <v>50.181660899653977</v>
      </c>
      <c r="L304" s="405">
        <v>50.012235161136893</v>
      </c>
      <c r="M304" s="405">
        <v>50.13677753390737</v>
      </c>
      <c r="N304" s="405">
        <v>50.303789655598074</v>
      </c>
    </row>
    <row r="305" spans="1:14" ht="14.5">
      <c r="A305" s="472"/>
      <c r="B305" s="578" t="s">
        <v>113</v>
      </c>
      <c r="C305" s="405">
        <v>50</v>
      </c>
      <c r="D305" s="405">
        <v>50.179211469534053</v>
      </c>
      <c r="E305" s="405">
        <v>50.113140676117773</v>
      </c>
      <c r="F305" s="405">
        <v>49.74271708683473</v>
      </c>
      <c r="G305" s="405">
        <v>50.36764911300461</v>
      </c>
      <c r="H305" s="405">
        <v>50.235561618917693</v>
      </c>
      <c r="I305" s="405">
        <v>50.471663619744056</v>
      </c>
      <c r="J305" s="405">
        <v>49.940905602455871</v>
      </c>
      <c r="K305" s="405">
        <v>50.196836555360278</v>
      </c>
      <c r="L305" s="405">
        <v>50.211479591836735</v>
      </c>
      <c r="M305" s="405">
        <v>50.112465340039364</v>
      </c>
      <c r="N305" s="405">
        <v>50.341053592860575</v>
      </c>
    </row>
    <row r="306" spans="1:14" ht="14.5">
      <c r="A306" s="472"/>
      <c r="B306" s="578" t="s">
        <v>114</v>
      </c>
      <c r="C306" s="405">
        <v>50</v>
      </c>
      <c r="D306" s="405">
        <v>50.117880794701989</v>
      </c>
      <c r="E306" s="405">
        <v>50.18041678561233</v>
      </c>
      <c r="F306" s="405">
        <v>49.798422198041351</v>
      </c>
      <c r="G306" s="405">
        <v>49.913683900427159</v>
      </c>
      <c r="H306" s="405">
        <v>50.024325519681554</v>
      </c>
      <c r="I306" s="405">
        <v>50.138290479499652</v>
      </c>
      <c r="J306" s="405">
        <v>50.009677419354837</v>
      </c>
      <c r="K306" s="405">
        <v>50.250943396226418</v>
      </c>
      <c r="L306" s="405">
        <v>50.557277403429218</v>
      </c>
      <c r="M306" s="405">
        <v>50.361116551297201</v>
      </c>
      <c r="N306" s="405">
        <v>50.24060547379375</v>
      </c>
    </row>
    <row r="307" spans="1:14" ht="14.5">
      <c r="A307" s="472"/>
      <c r="B307" s="578" t="s">
        <v>115</v>
      </c>
      <c r="C307" s="405">
        <v>50</v>
      </c>
      <c r="D307" s="405">
        <v>50.170328250193847</v>
      </c>
      <c r="E307" s="405">
        <v>50.139534883720927</v>
      </c>
      <c r="F307" s="405">
        <v>50.099490976399814</v>
      </c>
      <c r="G307" s="405">
        <v>50.335767756070844</v>
      </c>
      <c r="H307" s="405">
        <v>49.994530921329407</v>
      </c>
      <c r="I307" s="405">
        <v>50.297597042513864</v>
      </c>
      <c r="J307" s="405">
        <v>50.405602455871069</v>
      </c>
      <c r="K307" s="405">
        <v>50.221601489757916</v>
      </c>
      <c r="L307" s="405">
        <v>50.711394913176143</v>
      </c>
      <c r="M307" s="405">
        <v>49.600600101083124</v>
      </c>
      <c r="N307" s="405">
        <v>50.373608455709402</v>
      </c>
    </row>
    <row r="308" spans="1:14" ht="14.5">
      <c r="A308" s="473"/>
      <c r="B308" s="576" t="s">
        <v>116</v>
      </c>
      <c r="C308" s="407">
        <v>50</v>
      </c>
      <c r="D308" s="407">
        <v>49.995322418977615</v>
      </c>
      <c r="E308" s="407">
        <v>50.168823860438941</v>
      </c>
      <c r="F308" s="407">
        <v>50.616320687186828</v>
      </c>
      <c r="G308" s="407">
        <v>50.335899903753607</v>
      </c>
      <c r="H308" s="407">
        <v>49.926057906458794</v>
      </c>
      <c r="I308" s="407">
        <v>50.17345679012346</v>
      </c>
      <c r="J308" s="407">
        <v>50.39194422927963</v>
      </c>
      <c r="K308" s="407">
        <v>50.275797373358351</v>
      </c>
      <c r="L308" s="407">
        <v>50.435380384967921</v>
      </c>
      <c r="M308" s="407">
        <v>50.311981924257239</v>
      </c>
      <c r="N308" s="407">
        <v>50.639678732150877</v>
      </c>
    </row>
    <row r="309" spans="1:14" ht="14.5">
      <c r="A309" s="471">
        <v>2024</v>
      </c>
      <c r="B309" s="577" t="s">
        <v>105</v>
      </c>
      <c r="C309" s="403">
        <v>50</v>
      </c>
      <c r="D309" s="403">
        <v>50.114040542221119</v>
      </c>
      <c r="E309" s="403">
        <v>50.009312105737457</v>
      </c>
      <c r="F309" s="403">
        <v>50.429249119002442</v>
      </c>
      <c r="G309" s="403">
        <v>50.12160617319234</v>
      </c>
      <c r="H309" s="403">
        <v>50.644272179155898</v>
      </c>
      <c r="I309" s="403">
        <v>50.403225806451616</v>
      </c>
      <c r="J309" s="403">
        <v>50.059094397544129</v>
      </c>
      <c r="K309" s="403">
        <v>50.301587301587304</v>
      </c>
      <c r="L309" s="403">
        <v>50.46662478718617</v>
      </c>
      <c r="M309" s="403">
        <v>50.106752102523025</v>
      </c>
      <c r="N309" s="403">
        <v>50.370858777102548</v>
      </c>
    </row>
    <row r="310" spans="1:14" ht="14.5">
      <c r="A310" s="472"/>
      <c r="B310" s="578" t="s">
        <v>106</v>
      </c>
      <c r="C310" s="405">
        <v>50</v>
      </c>
      <c r="D310" s="405">
        <v>50.220242098184265</v>
      </c>
      <c r="E310" s="405">
        <v>50.0851713607058</v>
      </c>
      <c r="F310" s="405">
        <v>50.410174269605328</v>
      </c>
      <c r="G310" s="405">
        <v>50.207787732598206</v>
      </c>
      <c r="H310" s="405">
        <v>50.023266856600188</v>
      </c>
      <c r="I310" s="405">
        <v>50.052256532066508</v>
      </c>
      <c r="J310" s="405">
        <v>50.371352785145888</v>
      </c>
      <c r="K310" s="405">
        <v>50.36569579288026</v>
      </c>
      <c r="L310" s="405">
        <v>50.228703703703701</v>
      </c>
      <c r="M310" s="405">
        <v>50.641407736207988</v>
      </c>
      <c r="N310" s="405">
        <v>50.494406843049291</v>
      </c>
    </row>
    <row r="311" spans="1:14" ht="14.5">
      <c r="A311" s="472"/>
      <c r="B311" s="578" t="s">
        <v>107</v>
      </c>
      <c r="C311" s="405">
        <v>50</v>
      </c>
      <c r="D311" s="405">
        <v>50.245949136173408</v>
      </c>
      <c r="E311" s="405">
        <v>49.995457495133032</v>
      </c>
      <c r="F311" s="405">
        <v>50.353284861075046</v>
      </c>
      <c r="G311" s="405">
        <v>49.766401882906734</v>
      </c>
      <c r="H311" s="405">
        <v>50.655581947743471</v>
      </c>
      <c r="I311" s="405">
        <v>50.178489702517162</v>
      </c>
      <c r="J311" s="405">
        <v>50.355816597195904</v>
      </c>
      <c r="K311" s="405">
        <v>50.28709677419355</v>
      </c>
      <c r="L311" s="405">
        <v>50.428530092592595</v>
      </c>
      <c r="M311" s="405">
        <v>50.573820915926177</v>
      </c>
      <c r="N311" s="405">
        <v>50.485277182470575</v>
      </c>
    </row>
    <row r="312" spans="1:14" ht="14.5">
      <c r="A312" s="472"/>
      <c r="B312" s="578" t="s">
        <v>108</v>
      </c>
      <c r="C312" s="405">
        <v>50</v>
      </c>
      <c r="D312" s="405">
        <v>50.23226556718469</v>
      </c>
      <c r="E312" s="405">
        <v>50.111201629327901</v>
      </c>
      <c r="F312" s="405">
        <v>50.161543408360131</v>
      </c>
      <c r="G312" s="405">
        <v>50.225359256128485</v>
      </c>
      <c r="H312" s="405">
        <v>50.65660542432196</v>
      </c>
      <c r="I312" s="405">
        <v>50.048426150121067</v>
      </c>
      <c r="J312" s="405">
        <v>50.195470798569723</v>
      </c>
      <c r="K312" s="405">
        <v>50.400641025641029</v>
      </c>
      <c r="L312" s="405">
        <v>50.443159286186386</v>
      </c>
      <c r="M312" s="405">
        <v>50.533606277720914</v>
      </c>
      <c r="N312" s="405">
        <v>50.414394278050963</v>
      </c>
    </row>
    <row r="313" spans="1:14" ht="14.5">
      <c r="A313" s="472"/>
      <c r="B313" s="578" t="s">
        <v>109</v>
      </c>
      <c r="C313" s="405">
        <v>50</v>
      </c>
      <c r="D313" s="405">
        <v>50.051489093959731</v>
      </c>
      <c r="E313" s="405">
        <v>50.125174825174824</v>
      </c>
      <c r="F313" s="405">
        <v>49.999336165693045</v>
      </c>
      <c r="G313" s="405">
        <v>50.060132890365452</v>
      </c>
      <c r="H313" s="405">
        <v>50</v>
      </c>
      <c r="I313" s="405">
        <v>50.014285714285712</v>
      </c>
      <c r="J313" s="405">
        <v>50.355816597195904</v>
      </c>
      <c r="K313" s="405">
        <v>50.430817610062896</v>
      </c>
      <c r="L313" s="405">
        <v>50.51444094938519</v>
      </c>
      <c r="M313" s="405">
        <v>50.066459627329195</v>
      </c>
      <c r="N313" s="405">
        <v>50.628071681510889</v>
      </c>
    </row>
    <row r="314" spans="1:14" ht="14.5">
      <c r="A314" s="472"/>
      <c r="B314" s="578" t="s">
        <v>110</v>
      </c>
      <c r="C314" s="405">
        <v>50</v>
      </c>
      <c r="D314" s="405">
        <v>50.279887640449438</v>
      </c>
      <c r="E314" s="405">
        <v>50.197359948486799</v>
      </c>
      <c r="F314" s="405">
        <v>50.456776506273265</v>
      </c>
      <c r="G314" s="405">
        <v>50.141544645420616</v>
      </c>
      <c r="H314" s="405">
        <v>50.727909011373576</v>
      </c>
      <c r="I314" s="405">
        <v>50.188034188034187</v>
      </c>
      <c r="J314" s="405">
        <v>50.310344827586206</v>
      </c>
      <c r="K314" s="405">
        <v>50.393081761006286</v>
      </c>
      <c r="L314" s="405">
        <v>50.507865757734663</v>
      </c>
      <c r="M314" s="405">
        <v>50.099408721359943</v>
      </c>
      <c r="N314" s="405">
        <v>50.62923458817091</v>
      </c>
    </row>
    <row r="315" spans="1:14" ht="14.5">
      <c r="A315" s="472"/>
      <c r="B315" s="578" t="s">
        <v>117</v>
      </c>
      <c r="C315" s="405">
        <v>50</v>
      </c>
      <c r="D315" s="405">
        <v>50.028733221476507</v>
      </c>
      <c r="E315" s="405">
        <v>50.254137931034485</v>
      </c>
      <c r="F315" s="405">
        <v>50.075587334014301</v>
      </c>
      <c r="G315" s="405">
        <v>50.201027397260276</v>
      </c>
      <c r="H315" s="405">
        <v>50.603674540682412</v>
      </c>
      <c r="I315" s="405">
        <v>50.156862745098039</v>
      </c>
      <c r="J315" s="405">
        <v>50.331458417034952</v>
      </c>
      <c r="K315" s="405">
        <v>50.474683544303801</v>
      </c>
      <c r="L315" s="405">
        <v>50.315363257751038</v>
      </c>
      <c r="M315" s="405">
        <v>50.036200716845876</v>
      </c>
      <c r="N315" s="405">
        <v>50.576805206686899</v>
      </c>
    </row>
    <row r="316" spans="1:14" ht="14.5">
      <c r="A316" s="472"/>
      <c r="B316" s="578" t="s">
        <v>112</v>
      </c>
      <c r="C316" s="405">
        <v>50</v>
      </c>
      <c r="D316" s="405">
        <v>50.323211022072265</v>
      </c>
      <c r="E316" s="405">
        <v>50.21773430104134</v>
      </c>
      <c r="F316" s="405">
        <v>49.750769788081868</v>
      </c>
      <c r="G316" s="405">
        <v>50.01980052801408</v>
      </c>
      <c r="H316" s="405">
        <v>50.652173913043477</v>
      </c>
      <c r="I316" s="405">
        <v>50.117373619988378</v>
      </c>
      <c r="J316" s="405">
        <v>50</v>
      </c>
      <c r="K316" s="405">
        <v>50.506097560975611</v>
      </c>
      <c r="L316" s="405">
        <v>50.24370922646785</v>
      </c>
      <c r="M316" s="405">
        <v>50</v>
      </c>
      <c r="N316" s="405">
        <v>50.383850549553756</v>
      </c>
    </row>
    <row r="317" spans="1:14" ht="14.5">
      <c r="A317" s="472"/>
      <c r="B317" s="578" t="s">
        <v>113</v>
      </c>
      <c r="C317" s="405">
        <v>50</v>
      </c>
      <c r="D317" s="405">
        <v>50.075881612090683</v>
      </c>
      <c r="E317" s="405">
        <v>50.160151324085753</v>
      </c>
      <c r="F317" s="405">
        <v>50.086204279860375</v>
      </c>
      <c r="G317" s="405">
        <v>50.075930594690789</v>
      </c>
      <c r="H317" s="405">
        <v>50.007436570428695</v>
      </c>
      <c r="I317" s="405">
        <v>50.307342060330107</v>
      </c>
      <c r="J317" s="405">
        <v>50.321414222579349</v>
      </c>
      <c r="K317" s="405">
        <v>50.345403899721447</v>
      </c>
      <c r="L317" s="405">
        <v>50.411749745676502</v>
      </c>
      <c r="M317" s="405">
        <v>50.005887821506043</v>
      </c>
      <c r="N317" s="405">
        <v>50.484496828132464</v>
      </c>
    </row>
    <row r="318" spans="1:14" ht="14.5">
      <c r="A318" s="472"/>
      <c r="B318" s="578" t="s">
        <v>114</v>
      </c>
      <c r="C318" s="405">
        <v>50</v>
      </c>
      <c r="D318" s="405">
        <v>50.032403523489933</v>
      </c>
      <c r="E318" s="405">
        <v>50.132379248658317</v>
      </c>
      <c r="F318" s="405">
        <v>50.167099330509636</v>
      </c>
      <c r="G318" s="405">
        <v>50.397233498721995</v>
      </c>
      <c r="H318" s="405">
        <v>50.018482490272376</v>
      </c>
      <c r="I318" s="405">
        <v>50.142099056603776</v>
      </c>
      <c r="J318" s="405">
        <v>50</v>
      </c>
      <c r="K318" s="405">
        <v>50.36312849162011</v>
      </c>
      <c r="L318" s="405">
        <v>50.327126321087064</v>
      </c>
      <c r="M318" s="405">
        <v>50.030764449968927</v>
      </c>
      <c r="N318" s="405">
        <v>50.186068785274095</v>
      </c>
    </row>
    <row r="319" spans="1:14" ht="14.5">
      <c r="A319" s="472"/>
      <c r="B319" s="578" t="s">
        <v>115</v>
      </c>
      <c r="C319" s="405">
        <v>50</v>
      </c>
      <c r="D319" s="405">
        <v>50.622588087248324</v>
      </c>
      <c r="E319" s="405">
        <v>50.184569338210842</v>
      </c>
      <c r="F319" s="405">
        <v>50.377162629757784</v>
      </c>
      <c r="G319" s="405">
        <v>50.410591274397248</v>
      </c>
      <c r="H319" s="405">
        <v>50.611111111111114</v>
      </c>
      <c r="I319" s="405">
        <v>50.031774051191526</v>
      </c>
      <c r="J319" s="405">
        <v>50.338114754098363</v>
      </c>
      <c r="K319" s="405">
        <v>50.405970149253733</v>
      </c>
      <c r="L319" s="405">
        <v>50.324957651044606</v>
      </c>
      <c r="M319" s="405">
        <v>50.061576354679801</v>
      </c>
      <c r="N319" s="405">
        <v>50.354070840558641</v>
      </c>
    </row>
    <row r="320" spans="1:14" ht="14.5">
      <c r="A320" s="473"/>
      <c r="B320" s="576" t="s">
        <v>116</v>
      </c>
      <c r="C320" s="407">
        <v>50</v>
      </c>
      <c r="D320" s="407">
        <v>50.100186517452705</v>
      </c>
      <c r="E320" s="407">
        <v>50.215178571428574</v>
      </c>
      <c r="F320" s="407">
        <v>50.318552631578946</v>
      </c>
      <c r="G320" s="407">
        <v>50.275682704811445</v>
      </c>
      <c r="H320" s="407">
        <v>50.792836398838332</v>
      </c>
      <c r="I320" s="407">
        <v>50.022302158273384</v>
      </c>
      <c r="J320" s="407">
        <v>50</v>
      </c>
      <c r="K320" s="407">
        <v>50.54474708171206</v>
      </c>
      <c r="L320" s="407">
        <v>50.226855299081656</v>
      </c>
      <c r="M320" s="407">
        <v>50.014855355746676</v>
      </c>
      <c r="N320" s="407">
        <v>50.116284923231817</v>
      </c>
    </row>
    <row r="321" spans="1:14" ht="14.5">
      <c r="A321" s="471">
        <v>2025</v>
      </c>
      <c r="B321" s="577" t="s">
        <v>105</v>
      </c>
      <c r="C321" s="403">
        <v>50</v>
      </c>
      <c r="D321" s="403">
        <v>50.145310061018876</v>
      </c>
      <c r="E321" s="403">
        <v>50.107310529845741</v>
      </c>
      <c r="F321" s="403">
        <v>50.347897405308679</v>
      </c>
      <c r="G321" s="403">
        <v>50.119552414605415</v>
      </c>
      <c r="H321" s="403">
        <v>50.004005340453936</v>
      </c>
      <c r="I321" s="403">
        <v>50.015850144092219</v>
      </c>
      <c r="J321" s="403">
        <v>50</v>
      </c>
      <c r="K321" s="403">
        <v>50.074074074074076</v>
      </c>
      <c r="L321" s="403">
        <v>50.426725252003102</v>
      </c>
      <c r="M321" s="403">
        <v>50.013258897418005</v>
      </c>
      <c r="N321" s="403">
        <v>50.454344432882415</v>
      </c>
    </row>
    <row r="322" spans="1:14" ht="14.5">
      <c r="A322" s="472"/>
      <c r="B322" s="578" t="s">
        <v>106</v>
      </c>
      <c r="C322" s="405">
        <v>50</v>
      </c>
      <c r="D322" s="405">
        <v>50.115438302624234</v>
      </c>
      <c r="E322" s="405">
        <v>50.112903225806448</v>
      </c>
      <c r="F322" s="405">
        <v>49.979571623127399</v>
      </c>
      <c r="G322" s="405">
        <v>50.341293047433396</v>
      </c>
      <c r="H322" s="405">
        <v>50</v>
      </c>
      <c r="I322" s="405">
        <v>50.240887480190175</v>
      </c>
      <c r="J322" s="405">
        <v>50</v>
      </c>
      <c r="K322" s="405">
        <v>50.029761904761905</v>
      </c>
      <c r="L322" s="405">
        <v>50.145217826740108</v>
      </c>
      <c r="M322" s="405">
        <v>50.105189340813467</v>
      </c>
      <c r="N322" s="405">
        <v>50.635605406960025</v>
      </c>
    </row>
    <row r="323" spans="1:14" ht="14.5">
      <c r="A323" s="472"/>
      <c r="B323" s="578" t="s">
        <v>107</v>
      </c>
      <c r="C323" s="405">
        <v>50</v>
      </c>
      <c r="D323" s="405">
        <v>50.008654296791782</v>
      </c>
      <c r="E323" s="405">
        <v>50.073469387755104</v>
      </c>
      <c r="F323" s="405">
        <v>50.066814448591948</v>
      </c>
      <c r="G323" s="405">
        <v>50.043579896476871</v>
      </c>
      <c r="H323" s="405">
        <v>50.610591900311526</v>
      </c>
      <c r="I323" s="405">
        <v>50.019081272084804</v>
      </c>
      <c r="J323" s="405">
        <v>50</v>
      </c>
      <c r="K323" s="405">
        <v>50.425601770503363</v>
      </c>
      <c r="L323" s="405">
        <v>50.570612503966991</v>
      </c>
      <c r="M323" s="405">
        <v>50.131970284568482</v>
      </c>
      <c r="N323" s="405">
        <v>50.396695072415817</v>
      </c>
    </row>
    <row r="324" spans="1:14" ht="14.5">
      <c r="A324" s="472"/>
      <c r="B324" s="578" t="s">
        <v>108</v>
      </c>
      <c r="C324" s="405">
        <v>50</v>
      </c>
      <c r="D324" s="405">
        <v>50.032696867590168</v>
      </c>
      <c r="E324" s="405">
        <v>50.280300919476176</v>
      </c>
      <c r="F324" s="405">
        <v>50.045399270368868</v>
      </c>
      <c r="G324" s="405">
        <v>50.178761848341232</v>
      </c>
      <c r="H324" s="405">
        <v>49.793586435680062</v>
      </c>
      <c r="I324" s="405">
        <v>50.155462184873947</v>
      </c>
      <c r="J324" s="405">
        <v>50.045886961387801</v>
      </c>
      <c r="K324" s="405">
        <v>50.515337423312886</v>
      </c>
      <c r="L324" s="405">
        <v>50.391229789318963</v>
      </c>
      <c r="M324" s="405">
        <v>49.932711795703284</v>
      </c>
      <c r="N324" s="405">
        <v>50.142127993718098</v>
      </c>
    </row>
    <row r="325" spans="1:14" ht="14.5">
      <c r="A325" s="472"/>
      <c r="B325" s="578" t="s">
        <v>109</v>
      </c>
      <c r="C325" s="405">
        <v>50</v>
      </c>
      <c r="D325" s="405">
        <v>50.509650495565985</v>
      </c>
      <c r="E325" s="405">
        <v>50.271775082690191</v>
      </c>
      <c r="F325" s="405">
        <v>50.10997579994622</v>
      </c>
      <c r="G325" s="405">
        <v>50.169379674439064</v>
      </c>
      <c r="H325" s="405">
        <v>50.292276284450494</v>
      </c>
      <c r="I325" s="405">
        <v>50.034843205574916</v>
      </c>
      <c r="J325" s="405">
        <v>50.128913443830569</v>
      </c>
      <c r="K325" s="405">
        <v>50.073825503355707</v>
      </c>
      <c r="L325" s="405">
        <v>50.534565712838692</v>
      </c>
      <c r="M325" s="405">
        <v>49.957446808510639</v>
      </c>
      <c r="N325" s="405">
        <v>50.174797715373629</v>
      </c>
    </row>
    <row r="326" spans="1:14" ht="14.5">
      <c r="A326" s="472"/>
      <c r="B326" s="578" t="s">
        <v>110</v>
      </c>
      <c r="C326" s="702">
        <v>50</v>
      </c>
      <c r="D326" s="706">
        <v>50</v>
      </c>
      <c r="E326" s="707">
        <v>50.2</v>
      </c>
      <c r="F326" s="707">
        <v>50.1</v>
      </c>
      <c r="G326" s="707">
        <v>50.1</v>
      </c>
      <c r="H326" s="707">
        <v>50.3</v>
      </c>
      <c r="I326" s="707">
        <v>50.1</v>
      </c>
      <c r="J326" s="707">
        <v>50.1</v>
      </c>
      <c r="K326" s="707">
        <v>50.4</v>
      </c>
      <c r="L326" s="707">
        <v>50.3</v>
      </c>
      <c r="M326" s="707">
        <v>50</v>
      </c>
      <c r="N326" s="707">
        <v>50.4</v>
      </c>
    </row>
    <row r="327" spans="1:14" ht="14.5">
      <c r="A327" s="472"/>
      <c r="B327" s="578" t="s">
        <v>117</v>
      </c>
      <c r="C327" s="702">
        <v>50</v>
      </c>
      <c r="D327" s="706">
        <v>50.511862068965499</v>
      </c>
      <c r="E327" s="707">
        <v>50.151285046729001</v>
      </c>
      <c r="F327" s="707">
        <v>50.0637467476149</v>
      </c>
      <c r="G327" s="707">
        <v>50.130037853484701</v>
      </c>
      <c r="H327" s="707">
        <v>50.818759342301902</v>
      </c>
      <c r="I327" s="707">
        <v>50.021459227467801</v>
      </c>
      <c r="J327" s="707">
        <v>50.021252796420598</v>
      </c>
      <c r="K327" s="707">
        <v>50.4875776397515</v>
      </c>
      <c r="L327" s="707">
        <v>50.325326215895601</v>
      </c>
      <c r="M327" s="707">
        <v>50.019682059046197</v>
      </c>
      <c r="N327" s="707">
        <v>50.326530612244902</v>
      </c>
    </row>
    <row r="328" spans="1:14" ht="14.5">
      <c r="A328" s="473"/>
      <c r="B328" s="576" t="s">
        <v>112</v>
      </c>
      <c r="C328" s="696">
        <v>50</v>
      </c>
      <c r="D328" s="708">
        <v>50.605284888521901</v>
      </c>
      <c r="E328" s="709">
        <v>50.186199030510402</v>
      </c>
      <c r="F328" s="709">
        <v>50.144135188866798</v>
      </c>
      <c r="G328" s="709">
        <v>50.192918192918199</v>
      </c>
      <c r="H328" s="709">
        <v>50.536500579374298</v>
      </c>
      <c r="I328" s="709">
        <v>50.054886211512702</v>
      </c>
      <c r="J328" s="709">
        <v>50.021348314606698</v>
      </c>
      <c r="K328" s="709">
        <v>50.530973451327398</v>
      </c>
      <c r="L328" s="709">
        <v>50.197944199706299</v>
      </c>
      <c r="M328" s="709">
        <v>50.028605482717502</v>
      </c>
      <c r="N328" s="709">
        <v>49.809040728032201</v>
      </c>
    </row>
    <row r="330" spans="1:14" ht="14.5">
      <c r="A330" s="869" t="s">
        <v>353</v>
      </c>
      <c r="B330" s="869"/>
      <c r="C330" s="869"/>
      <c r="D330" s="869"/>
      <c r="E330" s="869"/>
      <c r="F330" s="869"/>
      <c r="G330" s="869"/>
      <c r="H330" s="869"/>
      <c r="I330" s="869"/>
      <c r="J330" s="869"/>
      <c r="K330" s="869"/>
      <c r="L330" s="869"/>
      <c r="M330" s="869"/>
      <c r="N330" s="869"/>
    </row>
    <row r="331" spans="1:14" ht="20.5" customHeight="1">
      <c r="A331" s="735" t="s">
        <v>98</v>
      </c>
      <c r="B331" s="739"/>
      <c r="C331" s="863" t="s">
        <v>324</v>
      </c>
      <c r="D331" s="864" t="s">
        <v>338</v>
      </c>
      <c r="E331" s="865"/>
      <c r="F331" s="865"/>
      <c r="G331" s="865"/>
      <c r="H331" s="865"/>
      <c r="I331" s="865"/>
      <c r="J331" s="865"/>
      <c r="K331" s="865"/>
      <c r="L331" s="865"/>
      <c r="M331" s="865"/>
      <c r="N331" s="866"/>
    </row>
    <row r="332" spans="1:14" ht="62.5" customHeight="1">
      <c r="A332" s="740"/>
      <c r="B332" s="741"/>
      <c r="C332" s="738"/>
      <c r="D332" s="556" t="s">
        <v>339</v>
      </c>
      <c r="E332" s="556" t="s">
        <v>215</v>
      </c>
      <c r="F332" s="556" t="s">
        <v>340</v>
      </c>
      <c r="G332" s="556" t="s">
        <v>341</v>
      </c>
      <c r="H332" s="556" t="s">
        <v>342</v>
      </c>
      <c r="I332" s="556" t="s">
        <v>343</v>
      </c>
      <c r="J332" s="557" t="s">
        <v>344</v>
      </c>
      <c r="K332" s="557" t="s">
        <v>345</v>
      </c>
      <c r="L332" s="557" t="s">
        <v>346</v>
      </c>
      <c r="M332" s="478" t="s">
        <v>347</v>
      </c>
      <c r="N332" s="478" t="s">
        <v>348</v>
      </c>
    </row>
    <row r="333" spans="1:14" ht="14.5">
      <c r="A333" s="471">
        <v>2020</v>
      </c>
      <c r="B333" s="558" t="s">
        <v>112</v>
      </c>
      <c r="C333" s="402">
        <v>50</v>
      </c>
      <c r="D333" s="403">
        <v>50.150461320085164</v>
      </c>
      <c r="E333" s="403">
        <v>50.166607333570667</v>
      </c>
      <c r="F333" s="403">
        <v>50.1972964763062</v>
      </c>
      <c r="G333" s="403">
        <v>50.373796369376478</v>
      </c>
      <c r="H333" s="403">
        <v>50.038885288399221</v>
      </c>
      <c r="I333" s="403">
        <v>50.059047619047618</v>
      </c>
      <c r="J333" s="403">
        <v>50.143335192414945</v>
      </c>
      <c r="K333" s="403">
        <v>49.98092209856916</v>
      </c>
      <c r="L333" s="402">
        <v>49.877067791112552</v>
      </c>
      <c r="M333" s="403">
        <v>50.356549520766777</v>
      </c>
      <c r="N333" s="403">
        <v>50.241028938906751</v>
      </c>
    </row>
    <row r="334" spans="1:14">
      <c r="A334" s="449"/>
      <c r="B334" s="559" t="s">
        <v>113</v>
      </c>
      <c r="C334" s="404">
        <v>50</v>
      </c>
      <c r="D334" s="405">
        <v>49.470049330514449</v>
      </c>
      <c r="E334" s="405">
        <v>50.168547249647389</v>
      </c>
      <c r="F334" s="405">
        <v>50.248913178487143</v>
      </c>
      <c r="G334" s="405">
        <v>50.38501742160279</v>
      </c>
      <c r="H334" s="405">
        <v>49.543233686917389</v>
      </c>
      <c r="I334" s="405">
        <v>50.057906458797326</v>
      </c>
      <c r="J334" s="405">
        <v>50.116802483507954</v>
      </c>
      <c r="K334" s="405">
        <v>49.9006309148265</v>
      </c>
      <c r="L334" s="404">
        <v>50.472454825914497</v>
      </c>
      <c r="M334" s="405">
        <v>49.988105352591333</v>
      </c>
      <c r="N334" s="405">
        <v>50.516763678696158</v>
      </c>
    </row>
    <row r="335" spans="1:14">
      <c r="A335" s="449"/>
      <c r="B335" s="559" t="s">
        <v>114</v>
      </c>
      <c r="C335" s="404">
        <v>50</v>
      </c>
      <c r="D335" s="405">
        <v>50.194350282485878</v>
      </c>
      <c r="E335" s="405">
        <v>50.007416563658836</v>
      </c>
      <c r="F335" s="405">
        <v>50.105013817607578</v>
      </c>
      <c r="G335" s="405">
        <v>50.251203576341126</v>
      </c>
      <c r="H335" s="405">
        <v>49.343875996774486</v>
      </c>
      <c r="I335" s="405">
        <v>50.120567375886523</v>
      </c>
      <c r="J335" s="405">
        <v>50.130384167636784</v>
      </c>
      <c r="K335" s="405">
        <v>50.00788643533123</v>
      </c>
      <c r="L335" s="404">
        <v>50.325413533834585</v>
      </c>
      <c r="M335" s="405">
        <v>50.128617363344048</v>
      </c>
      <c r="N335" s="405">
        <v>50.076379066478076</v>
      </c>
    </row>
    <row r="336" spans="1:14">
      <c r="A336" s="449"/>
      <c r="B336" s="559" t="s">
        <v>115</v>
      </c>
      <c r="C336" s="404">
        <v>50</v>
      </c>
      <c r="D336" s="405">
        <v>50.24808978032474</v>
      </c>
      <c r="E336" s="405">
        <v>50.020657742521898</v>
      </c>
      <c r="F336" s="405">
        <v>50.193981986899566</v>
      </c>
      <c r="G336" s="405">
        <v>50.344191860010937</v>
      </c>
      <c r="H336" s="405">
        <v>49.529674626448823</v>
      </c>
      <c r="I336" s="405">
        <v>50.117101937657964</v>
      </c>
      <c r="J336" s="405">
        <v>50.267171129220024</v>
      </c>
      <c r="K336" s="405">
        <v>50.004835589941976</v>
      </c>
      <c r="L336" s="404">
        <v>50.134350249339981</v>
      </c>
      <c r="M336" s="405">
        <v>50.273854447439355</v>
      </c>
      <c r="N336" s="405">
        <v>49.962504339775492</v>
      </c>
    </row>
    <row r="337" spans="1:14">
      <c r="A337" s="449"/>
      <c r="B337" s="560" t="s">
        <v>116</v>
      </c>
      <c r="C337" s="406">
        <v>50</v>
      </c>
      <c r="D337" s="407">
        <v>50.211954217888938</v>
      </c>
      <c r="E337" s="407">
        <v>50.29710144927536</v>
      </c>
      <c r="F337" s="407">
        <v>50.157449757449754</v>
      </c>
      <c r="G337" s="407">
        <v>50.433120048750759</v>
      </c>
      <c r="H337" s="407">
        <v>50.115451691663758</v>
      </c>
      <c r="I337" s="407">
        <v>50.287856071964015</v>
      </c>
      <c r="J337" s="407">
        <v>50.305781916957706</v>
      </c>
      <c r="K337" s="407">
        <v>50.069579288025892</v>
      </c>
      <c r="L337" s="406">
        <v>50.412912912912915</v>
      </c>
      <c r="M337" s="407">
        <v>50.132118451025057</v>
      </c>
      <c r="N337" s="407">
        <v>50.220891293147865</v>
      </c>
    </row>
    <row r="338" spans="1:14" ht="14.5">
      <c r="A338" s="471">
        <v>2021</v>
      </c>
      <c r="B338" s="559" t="s">
        <v>105</v>
      </c>
      <c r="C338" s="404">
        <v>50</v>
      </c>
      <c r="D338" s="405">
        <v>50.279251848629841</v>
      </c>
      <c r="E338" s="405">
        <v>50.199477351916379</v>
      </c>
      <c r="F338" s="405">
        <v>50.23674963396779</v>
      </c>
      <c r="G338" s="405">
        <v>50.370472260430994</v>
      </c>
      <c r="H338" s="405">
        <v>49.335107342594263</v>
      </c>
      <c r="I338" s="405">
        <v>50.157894736842103</v>
      </c>
      <c r="J338" s="405">
        <v>50.369237046103635</v>
      </c>
      <c r="K338" s="405">
        <v>50.102728731942214</v>
      </c>
      <c r="L338" s="404">
        <v>50.228421701602961</v>
      </c>
      <c r="M338" s="403">
        <v>50.174165457184323</v>
      </c>
      <c r="N338" s="403">
        <v>50.183408500751675</v>
      </c>
    </row>
    <row r="339" spans="1:14">
      <c r="A339" s="449"/>
      <c r="B339" s="559" t="s">
        <v>106</v>
      </c>
      <c r="C339" s="404">
        <v>50</v>
      </c>
      <c r="D339" s="405">
        <v>50</v>
      </c>
      <c r="E339" s="405">
        <v>50.159348441926348</v>
      </c>
      <c r="F339" s="405">
        <v>50.411790585129786</v>
      </c>
      <c r="G339" s="405">
        <v>50.409418054698747</v>
      </c>
      <c r="H339" s="405">
        <v>50.185677252106288</v>
      </c>
      <c r="I339" s="405">
        <v>50.155511811023622</v>
      </c>
      <c r="J339" s="405">
        <v>50.450836393308855</v>
      </c>
      <c r="K339" s="405">
        <v>50.08982035928144</v>
      </c>
      <c r="L339" s="404">
        <v>50.246643109540635</v>
      </c>
      <c r="M339" s="405">
        <v>49.802681992337163</v>
      </c>
      <c r="N339" s="405">
        <v>50.331246931762394</v>
      </c>
    </row>
    <row r="340" spans="1:14">
      <c r="A340" s="449"/>
      <c r="B340" s="559" t="s">
        <v>107</v>
      </c>
      <c r="C340" s="404">
        <v>50</v>
      </c>
      <c r="D340" s="405">
        <v>50.111636419094097</v>
      </c>
      <c r="E340" s="405">
        <v>50.146459747817651</v>
      </c>
      <c r="F340" s="405">
        <v>50.35084213531259</v>
      </c>
      <c r="G340" s="405">
        <v>50.138194074862518</v>
      </c>
      <c r="H340" s="405">
        <v>50.242565388749554</v>
      </c>
      <c r="I340" s="405">
        <v>50.266233766233768</v>
      </c>
      <c r="J340" s="405">
        <v>50.610399689561504</v>
      </c>
      <c r="K340" s="405">
        <v>50.014446227929376</v>
      </c>
      <c r="L340" s="404">
        <v>50.428817056396149</v>
      </c>
      <c r="M340" s="405">
        <v>50.309821428571432</v>
      </c>
      <c r="N340" s="405">
        <v>50.130286579977273</v>
      </c>
    </row>
    <row r="341" spans="1:14">
      <c r="A341" s="449"/>
      <c r="B341" s="559" t="s">
        <v>108</v>
      </c>
      <c r="C341" s="404">
        <v>50</v>
      </c>
      <c r="D341" s="405">
        <v>50.139663988312634</v>
      </c>
      <c r="E341" s="405">
        <v>50.251714677640607</v>
      </c>
      <c r="F341" s="405">
        <v>49.962577107607949</v>
      </c>
      <c r="G341" s="405">
        <v>50.381129403434237</v>
      </c>
      <c r="H341" s="405">
        <v>50.235724233983284</v>
      </c>
      <c r="I341" s="405">
        <v>50.312554872695344</v>
      </c>
      <c r="J341" s="405">
        <v>49.983962752198657</v>
      </c>
      <c r="K341" s="405">
        <v>50.014851485148512</v>
      </c>
      <c r="L341" s="404">
        <v>50.418187442004331</v>
      </c>
      <c r="M341" s="405">
        <v>49.992688870836716</v>
      </c>
      <c r="N341" s="405">
        <v>50.12796011632738</v>
      </c>
    </row>
    <row r="342" spans="1:14">
      <c r="A342" s="449"/>
      <c r="B342" s="559" t="s">
        <v>109</v>
      </c>
      <c r="C342" s="404">
        <v>50</v>
      </c>
      <c r="D342" s="405">
        <v>50.083499616270146</v>
      </c>
      <c r="E342" s="405">
        <v>50.160548885077183</v>
      </c>
      <c r="F342" s="405">
        <v>49.998686284813452</v>
      </c>
      <c r="G342" s="405">
        <v>50.358348586536508</v>
      </c>
      <c r="H342" s="405">
        <v>50.741835147744943</v>
      </c>
      <c r="I342" s="405">
        <v>50.427341227125943</v>
      </c>
      <c r="J342" s="405">
        <v>50.027335781313752</v>
      </c>
      <c r="K342" s="405">
        <v>50.310897435897438</v>
      </c>
      <c r="L342" s="404">
        <v>50.486567164179107</v>
      </c>
      <c r="M342" s="405">
        <v>50.013245033112582</v>
      </c>
      <c r="N342" s="405">
        <v>50.031139315230227</v>
      </c>
    </row>
    <row r="343" spans="1:14">
      <c r="A343" s="449"/>
      <c r="B343" s="559" t="s">
        <v>110</v>
      </c>
      <c r="C343" s="404">
        <v>50</v>
      </c>
      <c r="D343" s="405">
        <v>50.102904319622589</v>
      </c>
      <c r="E343" s="405">
        <v>50.201073345259395</v>
      </c>
      <c r="F343" s="405">
        <v>50.164242338652734</v>
      </c>
      <c r="G343" s="405">
        <v>50.198702702702704</v>
      </c>
      <c r="H343" s="405">
        <v>50.197587797091167</v>
      </c>
      <c r="I343" s="405">
        <v>50.43959390862944</v>
      </c>
      <c r="J343" s="405">
        <v>50.649530803753571</v>
      </c>
      <c r="K343" s="405">
        <v>50.158238172920065</v>
      </c>
      <c r="L343" s="404">
        <v>50.462673977224803</v>
      </c>
      <c r="M343" s="405">
        <v>50.381538461538462</v>
      </c>
      <c r="N343" s="405">
        <v>50.460859977949283</v>
      </c>
    </row>
    <row r="344" spans="1:14">
      <c r="A344" s="449"/>
      <c r="B344" s="559" t="s">
        <v>117</v>
      </c>
      <c r="C344" s="404">
        <v>50</v>
      </c>
      <c r="D344" s="405">
        <v>50.057653141156194</v>
      </c>
      <c r="E344" s="405">
        <v>50.229103343465049</v>
      </c>
      <c r="F344" s="405">
        <v>50.333427005760853</v>
      </c>
      <c r="G344" s="405">
        <v>50.356010986689206</v>
      </c>
      <c r="H344" s="405">
        <v>50.128249566724435</v>
      </c>
      <c r="I344" s="405">
        <v>50.512143611404433</v>
      </c>
      <c r="J344" s="405">
        <v>50.136678906568747</v>
      </c>
      <c r="K344" s="405">
        <v>50.154704944178626</v>
      </c>
      <c r="L344" s="404">
        <v>50.441127694859041</v>
      </c>
      <c r="M344" s="405">
        <v>50.087468460891508</v>
      </c>
      <c r="N344" s="405">
        <v>50.243615191213443</v>
      </c>
    </row>
    <row r="345" spans="1:14">
      <c r="A345" s="449"/>
      <c r="B345" s="559" t="s">
        <v>112</v>
      </c>
      <c r="C345" s="404">
        <v>50</v>
      </c>
      <c r="D345" s="405">
        <v>50.231928875144959</v>
      </c>
      <c r="E345" s="405">
        <v>50.001661819692565</v>
      </c>
      <c r="F345" s="405">
        <v>50.083018219319356</v>
      </c>
      <c r="G345" s="405">
        <v>49.907095553453168</v>
      </c>
      <c r="H345" s="405">
        <v>50.200854700854698</v>
      </c>
      <c r="I345" s="405">
        <v>50.25659978880676</v>
      </c>
      <c r="J345" s="405">
        <v>50.020846493998739</v>
      </c>
      <c r="K345" s="405">
        <v>50.156507413509061</v>
      </c>
      <c r="L345" s="404">
        <v>50.121212121212125</v>
      </c>
      <c r="M345" s="405">
        <v>50</v>
      </c>
      <c r="N345" s="405">
        <v>50.120387519589684</v>
      </c>
    </row>
    <row r="346" spans="1:14">
      <c r="A346" s="449"/>
      <c r="B346" s="559" t="s">
        <v>113</v>
      </c>
      <c r="C346" s="404">
        <v>50</v>
      </c>
      <c r="D346" s="405">
        <v>50.259852750108273</v>
      </c>
      <c r="E346" s="405">
        <v>49.973040085136574</v>
      </c>
      <c r="F346" s="405">
        <v>50.109141954728898</v>
      </c>
      <c r="G346" s="405">
        <v>50.040833195569519</v>
      </c>
      <c r="H346" s="405">
        <v>50.667948717948718</v>
      </c>
      <c r="I346" s="405">
        <v>49.872796934865903</v>
      </c>
      <c r="J346" s="405">
        <v>50.088053841839596</v>
      </c>
      <c r="K346" s="405">
        <v>49.94380165289256</v>
      </c>
      <c r="L346" s="404">
        <v>49.874788494077833</v>
      </c>
      <c r="M346" s="405">
        <v>50.454545454545453</v>
      </c>
      <c r="N346" s="405">
        <v>49.804336422451478</v>
      </c>
    </row>
    <row r="347" spans="1:14">
      <c r="A347" s="449"/>
      <c r="B347" s="559" t="s">
        <v>114</v>
      </c>
      <c r="C347" s="404">
        <v>50</v>
      </c>
      <c r="D347" s="405">
        <v>50.002772387025232</v>
      </c>
      <c r="E347" s="405">
        <v>49.907789613848202</v>
      </c>
      <c r="F347" s="405">
        <v>50.001902748414373</v>
      </c>
      <c r="G347" s="405">
        <v>50.028600269179002</v>
      </c>
      <c r="H347" s="405">
        <v>50.729264475743349</v>
      </c>
      <c r="I347" s="405">
        <v>49.954410307234888</v>
      </c>
      <c r="J347" s="405">
        <v>50.167721518987342</v>
      </c>
      <c r="K347" s="405">
        <v>49.760213143872114</v>
      </c>
      <c r="L347" s="404">
        <v>50.042984869325998</v>
      </c>
      <c r="M347" s="405">
        <v>50.287356321839077</v>
      </c>
      <c r="N347" s="405">
        <v>49.85460034959479</v>
      </c>
    </row>
    <row r="348" spans="1:14">
      <c r="A348" s="449"/>
      <c r="B348" s="559" t="s">
        <v>115</v>
      </c>
      <c r="C348" s="404">
        <v>50</v>
      </c>
      <c r="D348" s="405">
        <v>49.994756161510225</v>
      </c>
      <c r="E348" s="405">
        <v>50.068977234114847</v>
      </c>
      <c r="F348" s="405">
        <v>49.942822802197803</v>
      </c>
      <c r="G348" s="405">
        <v>50.03977918493262</v>
      </c>
      <c r="H348" s="405">
        <v>50.242566510172146</v>
      </c>
      <c r="I348" s="405">
        <v>49.996790757381255</v>
      </c>
      <c r="J348" s="405">
        <v>50.037341772151898</v>
      </c>
      <c r="K348" s="405">
        <v>50.383141762452105</v>
      </c>
      <c r="L348" s="404">
        <v>50.327586206896555</v>
      </c>
      <c r="M348" s="405">
        <v>50</v>
      </c>
      <c r="N348" s="405">
        <v>49.877627627627625</v>
      </c>
    </row>
    <row r="349" spans="1:14">
      <c r="A349" s="451"/>
      <c r="B349" s="560" t="s">
        <v>116</v>
      </c>
      <c r="C349" s="409">
        <v>50</v>
      </c>
      <c r="D349" s="410">
        <v>50.601409553641346</v>
      </c>
      <c r="E349" s="410">
        <v>50.004572175048985</v>
      </c>
      <c r="F349" s="410">
        <v>50.363624106781721</v>
      </c>
      <c r="G349" s="407">
        <v>50.107739242132304</v>
      </c>
      <c r="H349" s="407">
        <v>50.155390334572488</v>
      </c>
      <c r="I349" s="409">
        <v>50.092202970297031</v>
      </c>
      <c r="J349" s="407">
        <v>50.122401847575055</v>
      </c>
      <c r="K349" s="409">
        <v>50.697594501718214</v>
      </c>
      <c r="L349" s="410">
        <v>50.245630461922595</v>
      </c>
      <c r="M349" s="410">
        <v>50.24225663716814</v>
      </c>
      <c r="N349" s="407">
        <v>50.185922772879294</v>
      </c>
    </row>
    <row r="350" spans="1:14" ht="14.5">
      <c r="A350" s="471">
        <v>2022</v>
      </c>
      <c r="B350" s="558" t="s">
        <v>105</v>
      </c>
      <c r="C350" s="403">
        <v>50</v>
      </c>
      <c r="D350" s="403">
        <v>50.109991603694375</v>
      </c>
      <c r="E350" s="403">
        <v>50.109491222850345</v>
      </c>
      <c r="F350" s="403">
        <v>50.211806007021195</v>
      </c>
      <c r="G350" s="403">
        <v>50.233238904627008</v>
      </c>
      <c r="H350" s="403">
        <v>50.160606060606064</v>
      </c>
      <c r="I350" s="403">
        <v>49.986852917009038</v>
      </c>
      <c r="J350" s="403">
        <v>50.136565836298935</v>
      </c>
      <c r="K350" s="403">
        <v>49.899186991869918</v>
      </c>
      <c r="L350" s="403">
        <v>50.469966996699668</v>
      </c>
      <c r="M350" s="403">
        <v>50.120248790601245</v>
      </c>
      <c r="N350" s="403">
        <v>50.406648627754159</v>
      </c>
    </row>
    <row r="351" spans="1:14" ht="14.5">
      <c r="A351" s="472"/>
      <c r="B351" s="559" t="s">
        <v>106</v>
      </c>
      <c r="C351" s="405">
        <v>50</v>
      </c>
      <c r="D351" s="405">
        <v>50.114760058167718</v>
      </c>
      <c r="E351" s="405">
        <v>50.122807017543863</v>
      </c>
      <c r="F351" s="405">
        <v>50.38168816243136</v>
      </c>
      <c r="G351" s="405">
        <v>50.140697674418604</v>
      </c>
      <c r="H351" s="405">
        <v>49.329613391789557</v>
      </c>
      <c r="I351" s="405">
        <v>49.923032069970844</v>
      </c>
      <c r="J351" s="405">
        <v>50.117882562277579</v>
      </c>
      <c r="K351" s="405">
        <v>50.184466019417478</v>
      </c>
      <c r="L351" s="405">
        <v>50.22529644268775</v>
      </c>
      <c r="M351" s="405">
        <v>50.122031122031125</v>
      </c>
      <c r="N351" s="405">
        <v>50.368003074164214</v>
      </c>
    </row>
    <row r="352" spans="1:14" ht="14.5">
      <c r="A352" s="472"/>
      <c r="B352" s="559" t="s">
        <v>107</v>
      </c>
      <c r="C352" s="405">
        <v>50</v>
      </c>
      <c r="D352" s="405">
        <v>50.162810625535563</v>
      </c>
      <c r="E352" s="405">
        <v>50.145701096364682</v>
      </c>
      <c r="F352" s="405">
        <v>50.4387388585872</v>
      </c>
      <c r="G352" s="405">
        <v>50.045610034207527</v>
      </c>
      <c r="H352" s="405">
        <v>50.203000000000003</v>
      </c>
      <c r="I352" s="405">
        <v>49.855105105105103</v>
      </c>
      <c r="J352" s="405">
        <v>50.017793594306049</v>
      </c>
      <c r="K352" s="405">
        <v>50.013559322033899</v>
      </c>
      <c r="L352" s="405">
        <v>50.408833827093993</v>
      </c>
      <c r="M352" s="405">
        <v>50.194848824188128</v>
      </c>
      <c r="N352" s="405">
        <v>50.189392145422232</v>
      </c>
    </row>
    <row r="353" spans="1:14" ht="14.5">
      <c r="A353" s="472"/>
      <c r="B353" s="559" t="s">
        <v>108</v>
      </c>
      <c r="C353" s="405">
        <v>50</v>
      </c>
      <c r="D353" s="405">
        <v>50.094758064516128</v>
      </c>
      <c r="E353" s="405">
        <v>50.3429827775742</v>
      </c>
      <c r="F353" s="405">
        <v>50.304165575058946</v>
      </c>
      <c r="G353" s="405">
        <v>50.256073722423906</v>
      </c>
      <c r="H353" s="405">
        <v>50.080982044705017</v>
      </c>
      <c r="I353" s="405">
        <v>49.879737609329446</v>
      </c>
      <c r="J353" s="405">
        <v>50.304270462633454</v>
      </c>
      <c r="K353" s="405">
        <v>50.231958762886599</v>
      </c>
      <c r="L353" s="405">
        <v>50.479056779398078</v>
      </c>
      <c r="M353" s="405">
        <v>50.023584905660378</v>
      </c>
      <c r="N353" s="405">
        <v>50.413128476686971</v>
      </c>
    </row>
    <row r="354" spans="1:14" ht="14.5">
      <c r="A354" s="472"/>
      <c r="B354" s="559" t="s">
        <v>109</v>
      </c>
      <c r="C354" s="405">
        <v>50</v>
      </c>
      <c r="D354" s="405">
        <v>50.117763728771536</v>
      </c>
      <c r="E354" s="405">
        <v>50.247990105132963</v>
      </c>
      <c r="F354" s="405">
        <v>50.358824277897952</v>
      </c>
      <c r="G354" s="405">
        <v>50.384361893349308</v>
      </c>
      <c r="H354" s="405">
        <v>50.061436672967865</v>
      </c>
      <c r="I354" s="405">
        <v>50.178678678678679</v>
      </c>
      <c r="J354" s="405">
        <v>50.036921708185055</v>
      </c>
      <c r="K354" s="405">
        <v>49.968490878938638</v>
      </c>
      <c r="L354" s="405">
        <v>50.529271523178807</v>
      </c>
      <c r="M354" s="405">
        <v>49.907960199004975</v>
      </c>
      <c r="N354" s="405">
        <v>50.089640006541295</v>
      </c>
    </row>
    <row r="355" spans="1:14" ht="14.5">
      <c r="A355" s="472"/>
      <c r="B355" s="559" t="s">
        <v>110</v>
      </c>
      <c r="C355" s="405">
        <v>50</v>
      </c>
      <c r="D355" s="405">
        <v>50.129708737864078</v>
      </c>
      <c r="E355" s="405">
        <v>50.314537444933919</v>
      </c>
      <c r="F355" s="405">
        <v>50.414016789620959</v>
      </c>
      <c r="G355" s="405">
        <v>50.152260111022997</v>
      </c>
      <c r="H355" s="405">
        <v>50.02980922098569</v>
      </c>
      <c r="I355" s="405">
        <v>50.120206489675518</v>
      </c>
      <c r="J355" s="405">
        <v>50.190836298932382</v>
      </c>
      <c r="K355" s="405">
        <v>50.039014373716633</v>
      </c>
      <c r="L355" s="405">
        <v>50.415006640106242</v>
      </c>
      <c r="M355" s="405">
        <v>50.158038147138967</v>
      </c>
      <c r="N355" s="405">
        <v>50.504311493083151</v>
      </c>
    </row>
    <row r="356" spans="1:14" ht="14.5">
      <c r="A356" s="472"/>
      <c r="B356" s="559" t="s">
        <v>117</v>
      </c>
      <c r="C356" s="405">
        <v>50</v>
      </c>
      <c r="D356" s="405">
        <v>50.115549395161288</v>
      </c>
      <c r="E356" s="405">
        <v>50.279313632030508</v>
      </c>
      <c r="F356" s="405">
        <v>50.065831634139236</v>
      </c>
      <c r="G356" s="405">
        <v>50.517241379310342</v>
      </c>
      <c r="H356" s="405">
        <v>50.775044563279856</v>
      </c>
      <c r="I356" s="405">
        <v>50.382978723404257</v>
      </c>
      <c r="J356" s="405">
        <v>50.199708454810498</v>
      </c>
      <c r="K356" s="405">
        <v>50.01673640167364</v>
      </c>
      <c r="L356" s="405">
        <v>50.618278145695363</v>
      </c>
      <c r="M356" s="405">
        <v>50</v>
      </c>
      <c r="N356" s="405">
        <v>50.552182184030393</v>
      </c>
    </row>
    <row r="357" spans="1:14" ht="14.5">
      <c r="A357" s="472"/>
      <c r="B357" s="559" t="s">
        <v>112</v>
      </c>
      <c r="C357" s="405">
        <v>50</v>
      </c>
      <c r="D357" s="405">
        <v>50.130548302872064</v>
      </c>
      <c r="E357" s="405">
        <v>50.364603217889282</v>
      </c>
      <c r="F357" s="405">
        <v>50.252141982864138</v>
      </c>
      <c r="G357" s="405">
        <v>50.182402482269502</v>
      </c>
      <c r="H357" s="405">
        <v>50.072817133443166</v>
      </c>
      <c r="I357" s="405">
        <v>50.120679554774455</v>
      </c>
      <c r="J357" s="405">
        <v>50.02624555160142</v>
      </c>
      <c r="K357" s="405">
        <v>50.228333333333332</v>
      </c>
      <c r="L357" s="405">
        <v>50.569386987589318</v>
      </c>
      <c r="M357" s="405">
        <v>50.120758483033931</v>
      </c>
      <c r="N357" s="405">
        <v>50.263686208389807</v>
      </c>
    </row>
    <row r="358" spans="1:14" ht="14.5">
      <c r="A358" s="472"/>
      <c r="B358" s="559" t="s">
        <v>113</v>
      </c>
      <c r="C358" s="405">
        <v>50</v>
      </c>
      <c r="D358" s="405">
        <v>49.838363171355496</v>
      </c>
      <c r="E358" s="405">
        <v>50.393528761061944</v>
      </c>
      <c r="F358" s="405">
        <v>50.190505548705303</v>
      </c>
      <c r="G358" s="405">
        <v>50.154079861111114</v>
      </c>
      <c r="H358" s="405">
        <v>50.077342747111679</v>
      </c>
      <c r="I358" s="405">
        <v>50.27058823529412</v>
      </c>
      <c r="J358" s="405">
        <v>50.029359430604984</v>
      </c>
      <c r="K358" s="405">
        <v>49.867012089810018</v>
      </c>
      <c r="L358" s="405">
        <v>50.625160462130935</v>
      </c>
      <c r="M358" s="405">
        <v>50.111607142857146</v>
      </c>
      <c r="N358" s="405">
        <v>50.36855990891457</v>
      </c>
    </row>
    <row r="359" spans="1:14" ht="14.5">
      <c r="A359" s="472"/>
      <c r="B359" s="559" t="s">
        <v>114</v>
      </c>
      <c r="C359" s="405">
        <v>50</v>
      </c>
      <c r="D359" s="405">
        <v>50.343665594855302</v>
      </c>
      <c r="E359" s="405">
        <v>50.331703341483291</v>
      </c>
      <c r="F359" s="405">
        <v>49.979248712511357</v>
      </c>
      <c r="G359" s="405">
        <v>50.319136522753794</v>
      </c>
      <c r="H359" s="405">
        <v>50.119712689545089</v>
      </c>
      <c r="I359" s="405">
        <v>50.486902050113898</v>
      </c>
      <c r="J359" s="405">
        <v>50.045889101338432</v>
      </c>
      <c r="K359" s="405">
        <v>50.064989517819704</v>
      </c>
      <c r="L359" s="405">
        <v>50.462607423764375</v>
      </c>
      <c r="M359" s="405">
        <v>50.221962481020952</v>
      </c>
      <c r="N359" s="405">
        <v>50.178294829274257</v>
      </c>
    </row>
    <row r="360" spans="1:14" ht="14.5">
      <c r="A360" s="472"/>
      <c r="B360" s="559" t="s">
        <v>115</v>
      </c>
      <c r="C360" s="405">
        <v>50</v>
      </c>
      <c r="D360" s="405">
        <v>50.381883685023162</v>
      </c>
      <c r="E360" s="405">
        <v>50.295770482105887</v>
      </c>
      <c r="F360" s="405">
        <v>50.065802451740169</v>
      </c>
      <c r="G360" s="405">
        <v>50.526334907373773</v>
      </c>
      <c r="H360" s="405">
        <v>50</v>
      </c>
      <c r="I360" s="405">
        <v>50.025436046511629</v>
      </c>
      <c r="J360" s="405">
        <v>49.98625954198473</v>
      </c>
      <c r="K360" s="405">
        <v>50</v>
      </c>
      <c r="L360" s="405">
        <v>50.029958379162167</v>
      </c>
      <c r="M360" s="405">
        <v>50.107532828616897</v>
      </c>
      <c r="N360" s="405">
        <v>50.022765331960912</v>
      </c>
    </row>
    <row r="361" spans="1:14" ht="14.5">
      <c r="A361" s="473"/>
      <c r="B361" s="576" t="s">
        <v>116</v>
      </c>
      <c r="C361" s="407">
        <v>50</v>
      </c>
      <c r="D361" s="407">
        <v>49.857813547954393</v>
      </c>
      <c r="E361" s="407">
        <v>50.311672312904221</v>
      </c>
      <c r="F361" s="407">
        <v>50.253684210526316</v>
      </c>
      <c r="G361" s="407">
        <v>50.341082945852705</v>
      </c>
      <c r="H361" s="407">
        <v>50.575380914194064</v>
      </c>
      <c r="I361" s="407">
        <v>50.19001803968731</v>
      </c>
      <c r="J361" s="407">
        <v>50</v>
      </c>
      <c r="K361" s="407">
        <v>50.1794425087108</v>
      </c>
      <c r="L361" s="407">
        <v>50.298273169053601</v>
      </c>
      <c r="M361" s="407">
        <v>50.004098360655739</v>
      </c>
      <c r="N361" s="407">
        <v>50.16479829836711</v>
      </c>
    </row>
    <row r="362" spans="1:14" ht="14.5">
      <c r="A362" s="471">
        <v>2023</v>
      </c>
      <c r="B362" s="577" t="s">
        <v>105</v>
      </c>
      <c r="C362" s="403">
        <v>50</v>
      </c>
      <c r="D362" s="403">
        <v>50.249372804816858</v>
      </c>
      <c r="E362" s="403">
        <v>50.372761067928352</v>
      </c>
      <c r="F362" s="403">
        <v>49.941005654898362</v>
      </c>
      <c r="G362" s="403">
        <v>50.274681238615663</v>
      </c>
      <c r="H362" s="403">
        <v>50.707191780821915</v>
      </c>
      <c r="I362" s="403">
        <v>50.10129709697344</v>
      </c>
      <c r="J362" s="403">
        <v>50.050652340752109</v>
      </c>
      <c r="K362" s="403">
        <v>50.176369863013697</v>
      </c>
      <c r="L362" s="403">
        <v>50.492968143927975</v>
      </c>
      <c r="M362" s="403">
        <v>50.112400296296805</v>
      </c>
      <c r="N362" s="403">
        <v>50.349033632706885</v>
      </c>
    </row>
    <row r="363" spans="1:14" ht="14.5">
      <c r="A363" s="472"/>
      <c r="B363" s="578" t="s">
        <v>106</v>
      </c>
      <c r="C363" s="405">
        <v>50</v>
      </c>
      <c r="D363" s="405">
        <v>50.409643128321946</v>
      </c>
      <c r="E363" s="405">
        <v>50.300061425061422</v>
      </c>
      <c r="F363" s="405">
        <v>50.258454810495628</v>
      </c>
      <c r="G363" s="405">
        <v>50.226687543493391</v>
      </c>
      <c r="H363" s="405">
        <v>50.110514198004601</v>
      </c>
      <c r="I363" s="405">
        <v>50.080346106304077</v>
      </c>
      <c r="J363" s="405">
        <v>50.061396776669227</v>
      </c>
      <c r="K363" s="405">
        <v>49.836805555555557</v>
      </c>
      <c r="L363" s="405">
        <v>50.301440330263191</v>
      </c>
      <c r="M363" s="405">
        <v>50.147439181849855</v>
      </c>
      <c r="N363" s="405">
        <v>50.178840368438124</v>
      </c>
    </row>
    <row r="364" spans="1:14" ht="14.5">
      <c r="A364" s="472"/>
      <c r="B364" s="578" t="s">
        <v>107</v>
      </c>
      <c r="C364" s="405">
        <v>50</v>
      </c>
      <c r="D364" s="405">
        <v>50.315479177119919</v>
      </c>
      <c r="E364" s="405">
        <v>50.329890823251695</v>
      </c>
      <c r="F364" s="405">
        <v>50.335277818287878</v>
      </c>
      <c r="G364" s="405">
        <v>50.180903635721847</v>
      </c>
      <c r="H364" s="405">
        <v>50.040382110290928</v>
      </c>
      <c r="I364" s="405">
        <v>50.121265377855885</v>
      </c>
      <c r="J364" s="405">
        <v>50.013814274750573</v>
      </c>
      <c r="K364" s="405">
        <v>49.98770491803279</v>
      </c>
      <c r="L364" s="405">
        <v>50.34937762822485</v>
      </c>
      <c r="M364" s="405">
        <v>50.208488285304568</v>
      </c>
      <c r="N364" s="405">
        <v>50.073102827384176</v>
      </c>
    </row>
    <row r="365" spans="1:14" ht="14.5">
      <c r="A365" s="472"/>
      <c r="B365" s="578" t="s">
        <v>108</v>
      </c>
      <c r="C365" s="405">
        <v>50</v>
      </c>
      <c r="D365" s="405">
        <v>50.328672242550965</v>
      </c>
      <c r="E365" s="405">
        <v>50.332092078537578</v>
      </c>
      <c r="F365" s="405">
        <v>50.15117370892019</v>
      </c>
      <c r="G365" s="405">
        <v>50.25838333921638</v>
      </c>
      <c r="H365" s="405">
        <v>50.793999104343932</v>
      </c>
      <c r="I365" s="405">
        <v>50.019561351511562</v>
      </c>
      <c r="J365" s="405">
        <v>50</v>
      </c>
      <c r="K365" s="405">
        <v>50.17537313432836</v>
      </c>
      <c r="L365" s="405">
        <v>50.199137593100744</v>
      </c>
      <c r="M365" s="405">
        <v>50.366059410690724</v>
      </c>
      <c r="N365" s="405">
        <v>50.011329142154779</v>
      </c>
    </row>
    <row r="366" spans="1:14" ht="14.5">
      <c r="A366" s="472"/>
      <c r="B366" s="578" t="s">
        <v>109</v>
      </c>
      <c r="C366" s="405">
        <v>50</v>
      </c>
      <c r="D366" s="405">
        <v>50.273015035610655</v>
      </c>
      <c r="E366" s="405">
        <v>50.259792626728114</v>
      </c>
      <c r="F366" s="405">
        <v>50.223839397741529</v>
      </c>
      <c r="G366" s="405">
        <v>50.173607450360215</v>
      </c>
      <c r="H366" s="405">
        <v>50.107402031930334</v>
      </c>
      <c r="I366" s="405">
        <v>50.012597480503899</v>
      </c>
      <c r="J366" s="405">
        <v>50</v>
      </c>
      <c r="K366" s="405">
        <v>50.186471663619741</v>
      </c>
      <c r="L366" s="405">
        <v>50.298146608441996</v>
      </c>
      <c r="M366" s="405">
        <v>50.302486449537298</v>
      </c>
      <c r="N366" s="405">
        <v>50.454286427011922</v>
      </c>
    </row>
    <row r="367" spans="1:14" ht="14.5">
      <c r="A367" s="472"/>
      <c r="B367" s="578" t="s">
        <v>110</v>
      </c>
      <c r="C367" s="405">
        <v>50</v>
      </c>
      <c r="D367" s="405">
        <v>50.41534790253705</v>
      </c>
      <c r="E367" s="405">
        <v>50.353013910355486</v>
      </c>
      <c r="F367" s="405">
        <v>50.201987470295961</v>
      </c>
      <c r="G367" s="405">
        <v>50.122467603577299</v>
      </c>
      <c r="H367" s="405">
        <v>49.927783350050149</v>
      </c>
      <c r="I367" s="405">
        <v>50.006614552014433</v>
      </c>
      <c r="J367" s="405">
        <v>50.06216423637759</v>
      </c>
      <c r="K367" s="405">
        <v>50.178200692041521</v>
      </c>
      <c r="L367" s="405">
        <v>50.356500533115195</v>
      </c>
      <c r="M367" s="405">
        <v>50.297075946197253</v>
      </c>
      <c r="N367" s="405">
        <v>50.458499373790275</v>
      </c>
    </row>
    <row r="368" spans="1:14" ht="14.5">
      <c r="A368" s="472"/>
      <c r="B368" s="578" t="s">
        <v>117</v>
      </c>
      <c r="C368" s="405">
        <v>50</v>
      </c>
      <c r="D368" s="405">
        <v>50.327714873906331</v>
      </c>
      <c r="E368" s="405">
        <v>50.244909664468025</v>
      </c>
      <c r="F368" s="405">
        <v>50.117216687422165</v>
      </c>
      <c r="G368" s="405">
        <v>50.177693761814744</v>
      </c>
      <c r="H368" s="405">
        <v>50.786990380210717</v>
      </c>
      <c r="I368" s="405">
        <v>49.995370370370374</v>
      </c>
      <c r="J368" s="405">
        <v>50.408288564850345</v>
      </c>
      <c r="K368" s="405">
        <v>50.195445920303605</v>
      </c>
      <c r="L368" s="405">
        <v>50.236910508726325</v>
      </c>
      <c r="M368" s="405">
        <v>49.627431805018844</v>
      </c>
      <c r="N368" s="405">
        <v>50.091367192680018</v>
      </c>
    </row>
    <row r="369" spans="1:14" ht="14.5">
      <c r="A369" s="472"/>
      <c r="B369" s="578" t="s">
        <v>112</v>
      </c>
      <c r="C369" s="405">
        <v>50</v>
      </c>
      <c r="D369" s="405">
        <v>50.256849315068493</v>
      </c>
      <c r="E369" s="405">
        <v>50.011634671320536</v>
      </c>
      <c r="F369" s="405">
        <v>50.338660788095893</v>
      </c>
      <c r="G369" s="405">
        <v>50.064720365810764</v>
      </c>
      <c r="H369" s="405">
        <v>50.710716001922151</v>
      </c>
      <c r="I369" s="405">
        <v>49.989557739557739</v>
      </c>
      <c r="J369" s="405">
        <v>50.00844205679202</v>
      </c>
      <c r="K369" s="405">
        <v>50.178200692041521</v>
      </c>
      <c r="L369" s="405">
        <v>50.095493940580603</v>
      </c>
      <c r="M369" s="405">
        <v>50.159720862175696</v>
      </c>
      <c r="N369" s="405">
        <v>50.178373040365386</v>
      </c>
    </row>
    <row r="370" spans="1:14" ht="14.5">
      <c r="A370" s="472"/>
      <c r="B370" s="578" t="s">
        <v>113</v>
      </c>
      <c r="C370" s="405">
        <v>50</v>
      </c>
      <c r="D370" s="405">
        <v>50.266716104313431</v>
      </c>
      <c r="E370" s="405">
        <v>50.215648854961835</v>
      </c>
      <c r="F370" s="405">
        <v>50.347198879551819</v>
      </c>
      <c r="G370" s="405">
        <v>50.225450481910883</v>
      </c>
      <c r="H370" s="405">
        <v>50.703501591632559</v>
      </c>
      <c r="I370" s="405">
        <v>49.996343692870198</v>
      </c>
      <c r="J370" s="405">
        <v>50.397160399079048</v>
      </c>
      <c r="K370" s="405">
        <v>49.977152899824254</v>
      </c>
      <c r="L370" s="405">
        <v>50.33698979591837</v>
      </c>
      <c r="M370" s="405">
        <v>50.298463153291053</v>
      </c>
      <c r="N370" s="405">
        <v>50.264509976731659</v>
      </c>
    </row>
    <row r="371" spans="1:14" ht="14.5">
      <c r="A371" s="472"/>
      <c r="B371" s="578" t="s">
        <v>114</v>
      </c>
      <c r="C371" s="405">
        <v>50</v>
      </c>
      <c r="D371" s="405">
        <v>50.00503311258278</v>
      </c>
      <c r="E371" s="405">
        <v>50.089637453611189</v>
      </c>
      <c r="F371" s="405">
        <v>50.065016322089228</v>
      </c>
      <c r="G371" s="405">
        <v>50.090735012520256</v>
      </c>
      <c r="H371" s="405">
        <v>50.024325519681554</v>
      </c>
      <c r="I371" s="405">
        <v>50.192494788047256</v>
      </c>
      <c r="J371" s="405">
        <v>50</v>
      </c>
      <c r="K371" s="405">
        <v>50.158490566037734</v>
      </c>
      <c r="L371" s="405">
        <v>50.22326656226722</v>
      </c>
      <c r="M371" s="405">
        <v>50.13677753390737</v>
      </c>
      <c r="N371" s="405">
        <v>50.462909860095365</v>
      </c>
    </row>
    <row r="372" spans="1:14" ht="14.5">
      <c r="A372" s="472"/>
      <c r="B372" s="578" t="s">
        <v>115</v>
      </c>
      <c r="C372" s="405">
        <v>50</v>
      </c>
      <c r="D372" s="405">
        <v>50.671232876712331</v>
      </c>
      <c r="E372" s="405">
        <v>50.193331465396469</v>
      </c>
      <c r="F372" s="405">
        <v>49.746876446089772</v>
      </c>
      <c r="G372" s="405">
        <v>50.088004381960928</v>
      </c>
      <c r="H372" s="405">
        <v>50.639882204459404</v>
      </c>
      <c r="I372" s="405">
        <v>50.011090573012936</v>
      </c>
      <c r="J372" s="405">
        <v>50.048349961627018</v>
      </c>
      <c r="K372" s="405">
        <v>50.191806331471135</v>
      </c>
      <c r="L372" s="405">
        <v>50.200443695333732</v>
      </c>
      <c r="M372" s="405">
        <v>50.209826388666748</v>
      </c>
      <c r="N372" s="405">
        <v>50.045755691438096</v>
      </c>
    </row>
    <row r="373" spans="1:14" ht="14.5">
      <c r="A373" s="473"/>
      <c r="B373" s="576" t="s">
        <v>116</v>
      </c>
      <c r="C373" s="407">
        <v>50</v>
      </c>
      <c r="D373" s="407">
        <v>50.626461744069495</v>
      </c>
      <c r="E373" s="407">
        <v>50.210748452447945</v>
      </c>
      <c r="F373" s="407">
        <v>49.740873299928417</v>
      </c>
      <c r="G373" s="407">
        <v>50.05543792107796</v>
      </c>
      <c r="H373" s="407">
        <v>50.713585746102453</v>
      </c>
      <c r="I373" s="407">
        <v>49.662345679012347</v>
      </c>
      <c r="J373" s="407">
        <v>50.024786986831913</v>
      </c>
      <c r="K373" s="407">
        <v>49.831144465290805</v>
      </c>
      <c r="L373" s="407">
        <v>50.731439046746104</v>
      </c>
      <c r="M373" s="407">
        <v>50.079317438370488</v>
      </c>
      <c r="N373" s="407">
        <v>49.988169746036839</v>
      </c>
    </row>
    <row r="374" spans="1:14" ht="14.5">
      <c r="A374" s="471">
        <v>2024</v>
      </c>
      <c r="B374" s="577" t="s">
        <v>105</v>
      </c>
      <c r="C374" s="403">
        <v>50</v>
      </c>
      <c r="D374" s="403">
        <v>50.297226713095384</v>
      </c>
      <c r="E374" s="403">
        <v>50.001501952538298</v>
      </c>
      <c r="F374" s="403">
        <v>50.00664136622391</v>
      </c>
      <c r="G374" s="403">
        <v>50.307373535295795</v>
      </c>
      <c r="H374" s="403">
        <v>50.639965546942292</v>
      </c>
      <c r="I374" s="403">
        <v>50.02031063321386</v>
      </c>
      <c r="J374" s="403">
        <v>50.050652340752109</v>
      </c>
      <c r="K374" s="403">
        <v>50.148148148148145</v>
      </c>
      <c r="L374" s="403">
        <v>50.726985600646657</v>
      </c>
      <c r="M374" s="403">
        <v>50.244901882258709</v>
      </c>
      <c r="N374" s="403">
        <v>50.319413047753642</v>
      </c>
    </row>
    <row r="375" spans="1:14" ht="14.5">
      <c r="A375" s="472"/>
      <c r="B375" s="578" t="s">
        <v>106</v>
      </c>
      <c r="C375" s="405">
        <v>50</v>
      </c>
      <c r="D375" s="405">
        <v>50.253754763505938</v>
      </c>
      <c r="E375" s="405">
        <v>50.000339328130302</v>
      </c>
      <c r="F375" s="405">
        <v>49.955535622757559</v>
      </c>
      <c r="G375" s="405">
        <v>50.022742935906273</v>
      </c>
      <c r="H375" s="405">
        <v>50</v>
      </c>
      <c r="I375" s="405">
        <v>50.057007125890735</v>
      </c>
      <c r="J375" s="405">
        <v>50.378931413414172</v>
      </c>
      <c r="K375" s="405">
        <v>50.071197411003233</v>
      </c>
      <c r="L375" s="405">
        <v>50.18240740740741</v>
      </c>
      <c r="M375" s="405">
        <v>50.477805960684847</v>
      </c>
      <c r="N375" s="405">
        <v>50.134540913265923</v>
      </c>
    </row>
    <row r="376" spans="1:14" ht="14.5">
      <c r="A376" s="472"/>
      <c r="B376" s="578" t="s">
        <v>107</v>
      </c>
      <c r="C376" s="405">
        <v>50</v>
      </c>
      <c r="D376" s="405">
        <v>50.256143363021785</v>
      </c>
      <c r="E376" s="405">
        <v>50.131408176508764</v>
      </c>
      <c r="F376" s="405">
        <v>50.347572059205405</v>
      </c>
      <c r="G376" s="405">
        <v>50.492350691379819</v>
      </c>
      <c r="H376" s="405">
        <v>50.116864608076007</v>
      </c>
      <c r="I376" s="405">
        <v>50.069794050343248</v>
      </c>
      <c r="J376" s="405">
        <v>50.072375899962104</v>
      </c>
      <c r="K376" s="405">
        <v>50.567741935483873</v>
      </c>
      <c r="L376" s="405">
        <v>50.302372685185183</v>
      </c>
      <c r="M376" s="405">
        <v>50.480519480519483</v>
      </c>
      <c r="N376" s="405">
        <v>50.010241924869376</v>
      </c>
    </row>
    <row r="377" spans="1:14" ht="14.5">
      <c r="A377" s="472"/>
      <c r="B377" s="578" t="s">
        <v>108</v>
      </c>
      <c r="C377" s="405">
        <v>50</v>
      </c>
      <c r="D377" s="405">
        <v>50.174754202346968</v>
      </c>
      <c r="E377" s="405">
        <v>50.016293279022406</v>
      </c>
      <c r="F377" s="405">
        <v>49.992411575562699</v>
      </c>
      <c r="G377" s="405">
        <v>49.973288250211326</v>
      </c>
      <c r="H377" s="405">
        <v>50.042432195975501</v>
      </c>
      <c r="I377" s="405">
        <v>49.995157384987891</v>
      </c>
      <c r="J377" s="405">
        <v>50.201430274135873</v>
      </c>
      <c r="K377" s="405">
        <v>49.602564102564102</v>
      </c>
      <c r="L377" s="405">
        <v>50.098479841374754</v>
      </c>
      <c r="M377" s="405">
        <v>50.53701808256568</v>
      </c>
      <c r="N377" s="405">
        <v>50.060572194903891</v>
      </c>
    </row>
    <row r="378" spans="1:14" ht="14.5">
      <c r="A378" s="472"/>
      <c r="B378" s="578" t="s">
        <v>109</v>
      </c>
      <c r="C378" s="405">
        <v>50</v>
      </c>
      <c r="D378" s="405">
        <v>50.229656040268459</v>
      </c>
      <c r="E378" s="405">
        <v>50.077972027972031</v>
      </c>
      <c r="F378" s="405">
        <v>49.830722251725966</v>
      </c>
      <c r="G378" s="405">
        <v>50.130398671096344</v>
      </c>
      <c r="H378" s="405">
        <v>50.160542432195975</v>
      </c>
      <c r="I378" s="405">
        <v>50.054037267080744</v>
      </c>
      <c r="J378" s="405">
        <v>50</v>
      </c>
      <c r="K378" s="405">
        <v>50</v>
      </c>
      <c r="L378" s="405">
        <v>50.328281384043464</v>
      </c>
      <c r="M378" s="405">
        <v>50.489751552795028</v>
      </c>
      <c r="N378" s="405">
        <v>50.022749222019527</v>
      </c>
    </row>
    <row r="379" spans="1:14" ht="14.5">
      <c r="A379" s="472"/>
      <c r="B379" s="578" t="s">
        <v>110</v>
      </c>
      <c r="C379" s="405">
        <v>50</v>
      </c>
      <c r="D379" s="405">
        <v>50.210112359550564</v>
      </c>
      <c r="E379" s="405">
        <v>50.103992273019962</v>
      </c>
      <c r="F379" s="405">
        <v>50.207913966634493</v>
      </c>
      <c r="G379" s="405">
        <v>50.104364053976454</v>
      </c>
      <c r="H379" s="405">
        <v>50.054680664916887</v>
      </c>
      <c r="I379" s="405">
        <v>50</v>
      </c>
      <c r="J379" s="405">
        <v>50</v>
      </c>
      <c r="K379" s="405">
        <v>50.411949685534594</v>
      </c>
      <c r="L379" s="405">
        <v>50.178814892501308</v>
      </c>
      <c r="M379" s="405">
        <v>50.582779009608281</v>
      </c>
      <c r="N379" s="405">
        <v>49.837692362821365</v>
      </c>
    </row>
    <row r="380" spans="1:14" ht="14.5">
      <c r="A380" s="472"/>
      <c r="B380" s="578" t="s">
        <v>117</v>
      </c>
      <c r="C380" s="405">
        <v>50</v>
      </c>
      <c r="D380" s="405">
        <v>50.273070469798661</v>
      </c>
      <c r="E380" s="405">
        <v>50.08</v>
      </c>
      <c r="F380" s="405">
        <v>50.105039155600956</v>
      </c>
      <c r="G380" s="405">
        <v>50.076883561643832</v>
      </c>
      <c r="H380" s="405">
        <v>50.107174103237092</v>
      </c>
      <c r="I380" s="405">
        <v>49.987522281639926</v>
      </c>
      <c r="J380" s="405">
        <v>50.055845721173164</v>
      </c>
      <c r="K380" s="405">
        <v>50.518987341772153</v>
      </c>
      <c r="L380" s="405">
        <v>50.248496066635816</v>
      </c>
      <c r="M380" s="405">
        <v>50.507168458781365</v>
      </c>
      <c r="N380" s="405">
        <v>50.064335965361231</v>
      </c>
    </row>
    <row r="381" spans="1:14" ht="14.5">
      <c r="A381" s="472"/>
      <c r="B381" s="578" t="s">
        <v>112</v>
      </c>
      <c r="C381" s="405">
        <v>50</v>
      </c>
      <c r="D381" s="405">
        <v>50.286446784922397</v>
      </c>
      <c r="E381" s="405">
        <v>50.124329441464184</v>
      </c>
      <c r="F381" s="405">
        <v>50.349463771906876</v>
      </c>
      <c r="G381" s="405">
        <v>50.035494279847462</v>
      </c>
      <c r="H381" s="405">
        <v>50.140812821980539</v>
      </c>
      <c r="I381" s="405">
        <v>50</v>
      </c>
      <c r="J381" s="405">
        <v>50</v>
      </c>
      <c r="K381" s="405">
        <v>50.5</v>
      </c>
      <c r="L381" s="405">
        <v>50.190114068441062</v>
      </c>
      <c r="M381" s="405">
        <v>50.477264957264957</v>
      </c>
      <c r="N381" s="405">
        <v>49.98343837021838</v>
      </c>
    </row>
    <row r="382" spans="1:14" ht="14.5">
      <c r="A382" s="472"/>
      <c r="B382" s="578" t="s">
        <v>113</v>
      </c>
      <c r="C382" s="405">
        <v>50</v>
      </c>
      <c r="D382" s="405">
        <v>50.216939546599498</v>
      </c>
      <c r="E382" s="405">
        <v>50.077868852459019</v>
      </c>
      <c r="F382" s="405">
        <v>49.952800121414477</v>
      </c>
      <c r="G382" s="405">
        <v>50.154085718522914</v>
      </c>
      <c r="H382" s="405">
        <v>50.115048118985129</v>
      </c>
      <c r="I382" s="405">
        <v>49.950483779169041</v>
      </c>
      <c r="J382" s="405">
        <v>50.013660104459625</v>
      </c>
      <c r="K382" s="405">
        <v>50.286908077994426</v>
      </c>
      <c r="L382" s="405">
        <v>50.067395727365209</v>
      </c>
      <c r="M382" s="405">
        <v>50.020142547257514</v>
      </c>
      <c r="N382" s="405">
        <v>50.331743583099424</v>
      </c>
    </row>
    <row r="383" spans="1:14" ht="14.5">
      <c r="A383" s="472"/>
      <c r="B383" s="578" t="s">
        <v>114</v>
      </c>
      <c r="C383" s="405">
        <v>50</v>
      </c>
      <c r="D383" s="405">
        <v>50.23741610738255</v>
      </c>
      <c r="E383" s="405">
        <v>50.176505664877759</v>
      </c>
      <c r="F383" s="405">
        <v>49.718130892198388</v>
      </c>
      <c r="G383" s="405">
        <v>49.900015035333034</v>
      </c>
      <c r="H383" s="405">
        <v>50.168287937743187</v>
      </c>
      <c r="I383" s="405">
        <v>49.962264150943398</v>
      </c>
      <c r="J383" s="405">
        <v>49.980715146645238</v>
      </c>
      <c r="K383" s="405">
        <v>50.27653631284916</v>
      </c>
      <c r="L383" s="405">
        <v>50.17186713638651</v>
      </c>
      <c r="M383" s="405">
        <v>50.510254816656307</v>
      </c>
      <c r="N383" s="405">
        <v>50.449165386732851</v>
      </c>
    </row>
    <row r="384" spans="1:14" ht="14.5">
      <c r="A384" s="472"/>
      <c r="B384" s="578" t="s">
        <v>115</v>
      </c>
      <c r="C384" s="405">
        <v>50</v>
      </c>
      <c r="D384" s="405">
        <v>50.23741610738255</v>
      </c>
      <c r="E384" s="405">
        <v>50.066511473229134</v>
      </c>
      <c r="F384" s="405">
        <v>49.828399333589644</v>
      </c>
      <c r="G384" s="405">
        <v>49.900401836969003</v>
      </c>
      <c r="H384" s="405">
        <v>50.038932633420821</v>
      </c>
      <c r="I384" s="405">
        <v>49.954104148278908</v>
      </c>
      <c r="J384" s="405">
        <v>50</v>
      </c>
      <c r="K384" s="405">
        <v>50.397014925373135</v>
      </c>
      <c r="L384" s="405">
        <v>50.495765104460759</v>
      </c>
      <c r="M384" s="405">
        <v>50.549964813511615</v>
      </c>
      <c r="N384" s="405">
        <v>50.054992730219659</v>
      </c>
    </row>
    <row r="385" spans="1:14" ht="14.5">
      <c r="A385" s="473"/>
      <c r="B385" s="576" t="s">
        <v>116</v>
      </c>
      <c r="C385" s="407">
        <v>50</v>
      </c>
      <c r="D385" s="407">
        <v>50.306687982946976</v>
      </c>
      <c r="E385" s="407">
        <v>50.199404761904759</v>
      </c>
      <c r="F385" s="407">
        <v>49.948289473684213</v>
      </c>
      <c r="G385" s="407">
        <v>50.031209362808845</v>
      </c>
      <c r="H385" s="407">
        <v>50</v>
      </c>
      <c r="I385" s="407">
        <v>50.005755395683451</v>
      </c>
      <c r="J385" s="407">
        <v>50</v>
      </c>
      <c r="K385" s="407">
        <v>50</v>
      </c>
      <c r="L385" s="407">
        <v>50.337304542069994</v>
      </c>
      <c r="M385" s="407">
        <v>50.693510555121186</v>
      </c>
      <c r="N385" s="407">
        <v>49.918197835388874</v>
      </c>
    </row>
    <row r="386" spans="1:14" ht="14.5">
      <c r="A386" s="471">
        <v>2025</v>
      </c>
      <c r="B386" s="577" t="s">
        <v>105</v>
      </c>
      <c r="C386" s="403">
        <v>50</v>
      </c>
      <c r="D386" s="403">
        <v>50.270753512132821</v>
      </c>
      <c r="E386" s="403">
        <v>50.202515723270437</v>
      </c>
      <c r="F386" s="403">
        <v>49.983918747355055</v>
      </c>
      <c r="G386" s="403">
        <v>50.000453240670794</v>
      </c>
      <c r="H386" s="403">
        <v>50</v>
      </c>
      <c r="I386" s="403">
        <v>50.077912794853468</v>
      </c>
      <c r="J386" s="403">
        <v>50</v>
      </c>
      <c r="K386" s="403">
        <v>49.904761904761905</v>
      </c>
      <c r="L386" s="403">
        <v>50.292323597828897</v>
      </c>
      <c r="M386" s="403">
        <v>50.578506629448711</v>
      </c>
      <c r="N386" s="403">
        <v>49.762139703972991</v>
      </c>
    </row>
    <row r="387" spans="1:14" ht="14.5">
      <c r="A387" s="472"/>
      <c r="B387" s="578" t="s">
        <v>106</v>
      </c>
      <c r="C387" s="405">
        <v>50</v>
      </c>
      <c r="D387" s="405">
        <v>50.802763819095475</v>
      </c>
      <c r="E387" s="405">
        <v>50.169892473118281</v>
      </c>
      <c r="F387" s="405">
        <v>49.841409147095177</v>
      </c>
      <c r="G387" s="405">
        <v>50.26429499675114</v>
      </c>
      <c r="H387" s="405">
        <v>50.137377341659231</v>
      </c>
      <c r="I387" s="405">
        <v>49.987321711568939</v>
      </c>
      <c r="J387" s="405">
        <v>50</v>
      </c>
      <c r="K387" s="405">
        <v>49.851190476190474</v>
      </c>
      <c r="L387" s="405">
        <v>50.196795192789182</v>
      </c>
      <c r="M387" s="405">
        <v>50.516830294530152</v>
      </c>
      <c r="N387" s="405">
        <v>50.481449525452973</v>
      </c>
    </row>
    <row r="388" spans="1:14" ht="14.5">
      <c r="A388" s="472"/>
      <c r="B388" s="578" t="s">
        <v>107</v>
      </c>
      <c r="C388" s="405">
        <v>50</v>
      </c>
      <c r="D388" s="405">
        <v>50.2540368965958</v>
      </c>
      <c r="E388" s="405">
        <v>50.141399416909621</v>
      </c>
      <c r="F388" s="405">
        <v>50.143527334012333</v>
      </c>
      <c r="G388" s="405">
        <v>49.977792619802969</v>
      </c>
      <c r="H388" s="405">
        <v>49.802403204272366</v>
      </c>
      <c r="I388" s="405">
        <v>50.245229681978799</v>
      </c>
      <c r="J388" s="405">
        <v>50.014782288018097</v>
      </c>
      <c r="K388" s="405">
        <v>50.401281669331745</v>
      </c>
      <c r="L388" s="405">
        <v>50.030466518565532</v>
      </c>
      <c r="M388" s="405">
        <v>50.686048694601588</v>
      </c>
      <c r="N388" s="405">
        <v>50.117589131582847</v>
      </c>
    </row>
    <row r="389" spans="1:14" ht="14.5">
      <c r="A389" s="472"/>
      <c r="B389" s="578" t="s">
        <v>108</v>
      </c>
      <c r="C389" s="405">
        <v>50</v>
      </c>
      <c r="D389" s="405">
        <v>50.262698115562209</v>
      </c>
      <c r="E389" s="405">
        <v>49.798551128448032</v>
      </c>
      <c r="F389" s="405">
        <v>50.250236454533173</v>
      </c>
      <c r="G389" s="405">
        <v>49.984449052132703</v>
      </c>
      <c r="H389" s="405">
        <v>50.048654625875415</v>
      </c>
      <c r="I389" s="405">
        <v>49.919467787114847</v>
      </c>
      <c r="J389" s="405">
        <v>50.048684946838279</v>
      </c>
      <c r="K389" s="405">
        <v>50.404907975460119</v>
      </c>
      <c r="L389" s="405">
        <v>50.337579617834393</v>
      </c>
      <c r="M389" s="405">
        <v>50.013781921361975</v>
      </c>
      <c r="N389" s="405">
        <v>49.848187410024863</v>
      </c>
    </row>
    <row r="390" spans="1:14" ht="14.5">
      <c r="A390" s="472"/>
      <c r="B390" s="578" t="s">
        <v>109</v>
      </c>
      <c r="C390" s="405">
        <v>50</v>
      </c>
      <c r="D390" s="405">
        <v>49.498826291079816</v>
      </c>
      <c r="E390" s="405">
        <v>50.131820637493249</v>
      </c>
      <c r="F390" s="405">
        <v>50.216633132126091</v>
      </c>
      <c r="G390" s="405">
        <v>50.074930802688812</v>
      </c>
      <c r="H390" s="405">
        <v>50.104336043360433</v>
      </c>
      <c r="I390" s="405">
        <v>50.199095022624434</v>
      </c>
      <c r="J390" s="405">
        <v>49.979903237811683</v>
      </c>
      <c r="K390" s="405">
        <v>50.474522292993633</v>
      </c>
      <c r="L390" s="405">
        <v>50.214991136996709</v>
      </c>
      <c r="M390" s="405">
        <v>50.516521197007478</v>
      </c>
      <c r="N390" s="405">
        <v>49.752256532066511</v>
      </c>
    </row>
    <row r="391" spans="1:14" ht="14.5">
      <c r="A391" s="472"/>
      <c r="B391" s="578" t="s">
        <v>110</v>
      </c>
      <c r="C391" s="702">
        <v>50</v>
      </c>
      <c r="D391" s="710">
        <v>50.3</v>
      </c>
      <c r="E391" s="710">
        <v>50.2</v>
      </c>
      <c r="F391" s="710">
        <v>49.8</v>
      </c>
      <c r="G391" s="710">
        <v>49.9</v>
      </c>
      <c r="H391" s="710">
        <v>50.4</v>
      </c>
      <c r="I391" s="710">
        <v>49.8</v>
      </c>
      <c r="J391" s="710">
        <v>50</v>
      </c>
      <c r="K391" s="710">
        <v>50.1</v>
      </c>
      <c r="L391" s="710">
        <v>50.2</v>
      </c>
      <c r="M391" s="710">
        <v>50</v>
      </c>
      <c r="N391" s="710">
        <v>49.9</v>
      </c>
    </row>
    <row r="392" spans="1:14" ht="14.5">
      <c r="A392" s="472"/>
      <c r="B392" s="578" t="s">
        <v>117</v>
      </c>
      <c r="C392" s="702">
        <v>50</v>
      </c>
      <c r="D392" s="710">
        <v>49.796413793103397</v>
      </c>
      <c r="E392" s="710">
        <v>49.9483060747664</v>
      </c>
      <c r="F392" s="710">
        <v>49.785920786354403</v>
      </c>
      <c r="G392" s="710">
        <v>50.087731017590698</v>
      </c>
      <c r="H392" s="710">
        <v>50.257473841554599</v>
      </c>
      <c r="I392" s="710">
        <v>49.8369098712446</v>
      </c>
      <c r="J392" s="710">
        <v>50.012677106636801</v>
      </c>
      <c r="K392" s="710">
        <v>49.8913043478261</v>
      </c>
      <c r="L392" s="710">
        <v>50.274614472123403</v>
      </c>
      <c r="M392" s="710">
        <v>50.608251324754001</v>
      </c>
      <c r="N392" s="710">
        <v>50.133605442176901</v>
      </c>
    </row>
    <row r="393" spans="1:14" ht="14.5">
      <c r="A393" s="473"/>
      <c r="B393" s="576" t="s">
        <v>112</v>
      </c>
      <c r="C393" s="696">
        <v>50</v>
      </c>
      <c r="D393" s="711">
        <v>49.816405174786702</v>
      </c>
      <c r="E393" s="711">
        <v>50.178785286569699</v>
      </c>
      <c r="F393" s="711">
        <v>50.064470320931598</v>
      </c>
      <c r="G393" s="711">
        <v>49.949124949125</v>
      </c>
      <c r="H393" s="711">
        <v>50.287369640788</v>
      </c>
      <c r="I393" s="711">
        <v>50.030120481927703</v>
      </c>
      <c r="J393" s="711">
        <v>50</v>
      </c>
      <c r="K393" s="711">
        <v>49.964601769911503</v>
      </c>
      <c r="L393" s="711">
        <v>50.080763582966199</v>
      </c>
      <c r="M393" s="711">
        <v>50.022248708780303</v>
      </c>
      <c r="N393" s="711">
        <v>49.786215127554797</v>
      </c>
    </row>
    <row r="395" spans="1:14" ht="14.5">
      <c r="A395" s="869" t="s">
        <v>354</v>
      </c>
      <c r="B395" s="869"/>
      <c r="C395" s="869"/>
      <c r="D395" s="869"/>
      <c r="E395" s="869"/>
      <c r="F395" s="869"/>
      <c r="G395" s="869"/>
      <c r="H395" s="869"/>
      <c r="I395" s="869"/>
      <c r="J395" s="869"/>
      <c r="K395" s="869"/>
      <c r="L395" s="869"/>
      <c r="M395" s="869"/>
      <c r="N395" s="869"/>
    </row>
    <row r="396" spans="1:14" ht="18.649999999999999" customHeight="1">
      <c r="A396" s="735" t="s">
        <v>98</v>
      </c>
      <c r="B396" s="739"/>
      <c r="C396" s="863" t="s">
        <v>324</v>
      </c>
      <c r="D396" s="864" t="s">
        <v>338</v>
      </c>
      <c r="E396" s="865"/>
      <c r="F396" s="865"/>
      <c r="G396" s="865"/>
      <c r="H396" s="865"/>
      <c r="I396" s="865"/>
      <c r="J396" s="865"/>
      <c r="K396" s="865"/>
      <c r="L396" s="865"/>
      <c r="M396" s="865"/>
      <c r="N396" s="866"/>
    </row>
    <row r="397" spans="1:14" ht="60.65" customHeight="1">
      <c r="A397" s="740"/>
      <c r="B397" s="741"/>
      <c r="C397" s="738"/>
      <c r="D397" s="556" t="s">
        <v>339</v>
      </c>
      <c r="E397" s="556" t="s">
        <v>215</v>
      </c>
      <c r="F397" s="556" t="s">
        <v>340</v>
      </c>
      <c r="G397" s="556" t="s">
        <v>341</v>
      </c>
      <c r="H397" s="556" t="s">
        <v>342</v>
      </c>
      <c r="I397" s="556" t="s">
        <v>343</v>
      </c>
      <c r="J397" s="557" t="s">
        <v>344</v>
      </c>
      <c r="K397" s="557" t="s">
        <v>345</v>
      </c>
      <c r="L397" s="557" t="s">
        <v>346</v>
      </c>
      <c r="M397" s="478" t="s">
        <v>347</v>
      </c>
      <c r="N397" s="478" t="s">
        <v>348</v>
      </c>
    </row>
    <row r="398" spans="1:14" ht="14.5">
      <c r="A398" s="471">
        <v>2020</v>
      </c>
      <c r="B398" s="558" t="s">
        <v>112</v>
      </c>
      <c r="C398" s="402">
        <v>50</v>
      </c>
      <c r="D398" s="403">
        <v>50.234208658623139</v>
      </c>
      <c r="E398" s="403">
        <v>50.203275186899255</v>
      </c>
      <c r="F398" s="403">
        <v>50.135328068043741</v>
      </c>
      <c r="G398" s="403">
        <v>50.392107340173638</v>
      </c>
      <c r="H398" s="403">
        <v>50.038885288399221</v>
      </c>
      <c r="I398" s="403">
        <v>50.011428571428574</v>
      </c>
      <c r="J398" s="403">
        <v>50</v>
      </c>
      <c r="K398" s="403">
        <v>50.236883942766298</v>
      </c>
      <c r="L398" s="402">
        <v>50.053519299383716</v>
      </c>
      <c r="M398" s="403">
        <v>50.369968051118214</v>
      </c>
      <c r="N398" s="403">
        <v>50.644501607717039</v>
      </c>
    </row>
    <row r="399" spans="1:14">
      <c r="A399" s="449"/>
      <c r="B399" s="559" t="s">
        <v>113</v>
      </c>
      <c r="C399" s="404">
        <v>50</v>
      </c>
      <c r="D399" s="405">
        <v>50.304439746300211</v>
      </c>
      <c r="E399" s="405">
        <v>50.15267983074753</v>
      </c>
      <c r="F399" s="405">
        <v>50.18531859396348</v>
      </c>
      <c r="G399" s="405">
        <v>50.425245486221094</v>
      </c>
      <c r="H399" s="405">
        <v>50.038572806171651</v>
      </c>
      <c r="I399" s="405">
        <v>50.247216035634743</v>
      </c>
      <c r="J399" s="405">
        <v>50.09740007760962</v>
      </c>
      <c r="K399" s="405">
        <v>50.246056782334385</v>
      </c>
      <c r="L399" s="404">
        <v>50.41207580431908</v>
      </c>
      <c r="M399" s="405">
        <v>50.183517417162278</v>
      </c>
      <c r="N399" s="405">
        <v>50.348195576251456</v>
      </c>
    </row>
    <row r="400" spans="1:14">
      <c r="A400" s="449"/>
      <c r="B400" s="559" t="s">
        <v>114</v>
      </c>
      <c r="C400" s="404">
        <v>50</v>
      </c>
      <c r="D400" s="405">
        <v>50.145278450363193</v>
      </c>
      <c r="E400" s="405">
        <v>50.129171817058094</v>
      </c>
      <c r="F400" s="405">
        <v>50.461771285695484</v>
      </c>
      <c r="G400" s="405">
        <v>50.252407152682252</v>
      </c>
      <c r="H400" s="405">
        <v>49.30714093719201</v>
      </c>
      <c r="I400" s="405">
        <v>50.008865248226954</v>
      </c>
      <c r="J400" s="405">
        <v>50.400077609623594</v>
      </c>
      <c r="K400" s="405">
        <v>49.982649842271293</v>
      </c>
      <c r="L400" s="404">
        <v>50.247218045112781</v>
      </c>
      <c r="M400" s="405">
        <v>50.338906752411575</v>
      </c>
      <c r="N400" s="405">
        <v>50.190186051572191</v>
      </c>
    </row>
    <row r="401" spans="1:14">
      <c r="A401" s="449"/>
      <c r="B401" s="559" t="s">
        <v>115</v>
      </c>
      <c r="C401" s="404">
        <v>50</v>
      </c>
      <c r="D401" s="405">
        <v>50.239016236867236</v>
      </c>
      <c r="E401" s="405">
        <v>50.154685176003966</v>
      </c>
      <c r="F401" s="405">
        <v>50.265420305676855</v>
      </c>
      <c r="G401" s="405">
        <v>50.250917897039294</v>
      </c>
      <c r="H401" s="405">
        <v>49.478494623655912</v>
      </c>
      <c r="I401" s="405">
        <v>50.050968828980622</v>
      </c>
      <c r="J401" s="405">
        <v>50.430539386883972</v>
      </c>
      <c r="K401" s="405">
        <v>50.062862669245646</v>
      </c>
      <c r="L401" s="404">
        <v>50.439131710178941</v>
      </c>
      <c r="M401" s="405">
        <v>50.293261455525609</v>
      </c>
      <c r="N401" s="405">
        <v>50.212938317324387</v>
      </c>
    </row>
    <row r="402" spans="1:14">
      <c r="A402" s="449"/>
      <c r="B402" s="560" t="s">
        <v>116</v>
      </c>
      <c r="C402" s="406">
        <v>50</v>
      </c>
      <c r="D402" s="407">
        <v>50.30380104564081</v>
      </c>
      <c r="E402" s="407">
        <v>50.174749163879596</v>
      </c>
      <c r="F402" s="407">
        <v>50.2</v>
      </c>
      <c r="G402" s="407">
        <v>50.420475319926872</v>
      </c>
      <c r="H402" s="407">
        <v>50.22322985699337</v>
      </c>
      <c r="I402" s="407">
        <v>50.271364317841076</v>
      </c>
      <c r="J402" s="407">
        <v>50.633294528521539</v>
      </c>
      <c r="K402" s="407">
        <v>50.038834951456309</v>
      </c>
      <c r="L402" s="406">
        <v>50.268768768768766</v>
      </c>
      <c r="M402" s="407">
        <v>50.254365983295365</v>
      </c>
      <c r="N402" s="407">
        <v>50.363214837712519</v>
      </c>
    </row>
    <row r="403" spans="1:14" ht="14.5">
      <c r="A403" s="471">
        <v>2021</v>
      </c>
      <c r="B403" s="559" t="s">
        <v>105</v>
      </c>
      <c r="C403" s="404">
        <v>50</v>
      </c>
      <c r="D403" s="405">
        <v>50.221255618384802</v>
      </c>
      <c r="E403" s="405">
        <v>50.21196283391405</v>
      </c>
      <c r="F403" s="405">
        <v>50.432210834553437</v>
      </c>
      <c r="G403" s="405">
        <v>50.243007794589637</v>
      </c>
      <c r="H403" s="405">
        <v>49.337903662276744</v>
      </c>
      <c r="I403" s="405">
        <v>50.20980533525595</v>
      </c>
      <c r="J403" s="405">
        <v>50.696042431660544</v>
      </c>
      <c r="K403" s="405">
        <v>50.227929373996787</v>
      </c>
      <c r="L403" s="404">
        <v>50.191122071516645</v>
      </c>
      <c r="M403" s="403">
        <v>50.304063860667632</v>
      </c>
      <c r="N403" s="403">
        <v>50.500615006150063</v>
      </c>
    </row>
    <row r="404" spans="1:14">
      <c r="A404" s="449"/>
      <c r="B404" s="559" t="s">
        <v>106</v>
      </c>
      <c r="C404" s="404">
        <v>50</v>
      </c>
      <c r="D404" s="405">
        <v>50.852259950528449</v>
      </c>
      <c r="E404" s="405">
        <v>50.215297450424927</v>
      </c>
      <c r="F404" s="405">
        <v>50.36427628684558</v>
      </c>
      <c r="G404" s="405">
        <v>50.371170059633968</v>
      </c>
      <c r="H404" s="405">
        <v>50.064808813998702</v>
      </c>
      <c r="I404" s="405">
        <v>50.318897637795274</v>
      </c>
      <c r="J404" s="405">
        <v>50.44308445532436</v>
      </c>
      <c r="K404" s="405">
        <v>50.063872255489024</v>
      </c>
      <c r="L404" s="404">
        <v>50.238162544169612</v>
      </c>
      <c r="M404" s="405">
        <v>50.107279693486589</v>
      </c>
      <c r="N404" s="405">
        <v>49.976067746686304</v>
      </c>
    </row>
    <row r="405" spans="1:14">
      <c r="A405" s="449"/>
      <c r="B405" s="559" t="s">
        <v>107</v>
      </c>
      <c r="C405" s="404">
        <v>50</v>
      </c>
      <c r="D405" s="405">
        <v>50.141833155406438</v>
      </c>
      <c r="E405" s="405">
        <v>50.10313611380537</v>
      </c>
      <c r="F405" s="405">
        <v>49.928061661433055</v>
      </c>
      <c r="G405" s="405">
        <v>50.3072556324286</v>
      </c>
      <c r="H405" s="405">
        <v>50.225367251881046</v>
      </c>
      <c r="I405" s="405">
        <v>50.440630797773657</v>
      </c>
      <c r="J405" s="405">
        <v>50.555296856810244</v>
      </c>
      <c r="K405" s="405">
        <v>50.260032102728729</v>
      </c>
      <c r="L405" s="404">
        <v>50.243122420907838</v>
      </c>
      <c r="M405" s="405">
        <v>50.547321428571429</v>
      </c>
      <c r="N405" s="405">
        <v>50.161595758111346</v>
      </c>
    </row>
    <row r="406" spans="1:14">
      <c r="A406" s="449"/>
      <c r="B406" s="559" t="s">
        <v>108</v>
      </c>
      <c r="C406" s="404">
        <v>50</v>
      </c>
      <c r="D406" s="405">
        <v>50.135865595325058</v>
      </c>
      <c r="E406" s="405">
        <v>50.231824417009605</v>
      </c>
      <c r="F406" s="405">
        <v>49.93433858807402</v>
      </c>
      <c r="G406" s="405">
        <v>50.349973446627722</v>
      </c>
      <c r="H406" s="405">
        <v>50.194637883008355</v>
      </c>
      <c r="I406" s="405">
        <v>50.420544337137841</v>
      </c>
      <c r="J406" s="405">
        <v>50.561821003621311</v>
      </c>
      <c r="K406" s="405">
        <v>50.151815181518153</v>
      </c>
      <c r="L406" s="404">
        <v>50.281163006495518</v>
      </c>
      <c r="M406" s="405">
        <v>49.979691307879776</v>
      </c>
      <c r="N406" s="405">
        <v>50.072843096524025</v>
      </c>
    </row>
    <row r="407" spans="1:14">
      <c r="A407" s="449"/>
      <c r="B407" s="559" t="s">
        <v>109</v>
      </c>
      <c r="C407" s="404">
        <v>50</v>
      </c>
      <c r="D407" s="405">
        <v>50.05648503453569</v>
      </c>
      <c r="E407" s="405">
        <v>50.174271012006862</v>
      </c>
      <c r="F407" s="405">
        <v>50.416579085654227</v>
      </c>
      <c r="G407" s="405">
        <v>50.224323774659346</v>
      </c>
      <c r="H407" s="405">
        <v>50</v>
      </c>
      <c r="I407" s="405">
        <v>50.331539289558663</v>
      </c>
      <c r="J407" s="405">
        <v>50.009791921664629</v>
      </c>
      <c r="K407" s="405">
        <v>50.310897435897438</v>
      </c>
      <c r="L407" s="404">
        <v>50.253358208955227</v>
      </c>
      <c r="M407" s="405">
        <v>50.663907284768214</v>
      </c>
      <c r="N407" s="405">
        <v>50.381788665879576</v>
      </c>
    </row>
    <row r="408" spans="1:14">
      <c r="A408" s="449"/>
      <c r="B408" s="559" t="s">
        <v>110</v>
      </c>
      <c r="C408" s="404">
        <v>50</v>
      </c>
      <c r="D408" s="405">
        <v>50.102904319622589</v>
      </c>
      <c r="E408" s="405">
        <v>50.235778175313058</v>
      </c>
      <c r="F408" s="405">
        <v>50.113260838864569</v>
      </c>
      <c r="G408" s="405">
        <v>50.291027027027027</v>
      </c>
      <c r="H408" s="405">
        <v>50.197587797091167</v>
      </c>
      <c r="I408" s="405">
        <v>50.491370558375635</v>
      </c>
      <c r="J408" s="405">
        <v>50.614443084455324</v>
      </c>
      <c r="K408" s="405">
        <v>50.158238172920065</v>
      </c>
      <c r="L408" s="404">
        <v>50.374103753690427</v>
      </c>
      <c r="M408" s="405">
        <v>50.143846153846155</v>
      </c>
      <c r="N408" s="405">
        <v>50.273113876200973</v>
      </c>
    </row>
    <row r="409" spans="1:14">
      <c r="A409" s="449"/>
      <c r="B409" s="559" t="s">
        <v>117</v>
      </c>
      <c r="C409" s="404">
        <v>50</v>
      </c>
      <c r="D409" s="405">
        <v>50.026633244555853</v>
      </c>
      <c r="E409" s="405">
        <v>50.221884498480243</v>
      </c>
      <c r="F409" s="405">
        <v>50.354081776029226</v>
      </c>
      <c r="G409" s="405">
        <v>50.249947179378829</v>
      </c>
      <c r="H409" s="405">
        <v>50.192027729636045</v>
      </c>
      <c r="I409" s="405">
        <v>50.493136219640974</v>
      </c>
      <c r="J409" s="405">
        <v>50.088535291717669</v>
      </c>
      <c r="K409" s="405">
        <v>50.259968102073366</v>
      </c>
      <c r="L409" s="404">
        <v>50.462271973466002</v>
      </c>
      <c r="M409" s="405">
        <v>50.671152228763667</v>
      </c>
      <c r="N409" s="405">
        <v>49.922985311631599</v>
      </c>
    </row>
    <row r="410" spans="1:14">
      <c r="A410" s="449"/>
      <c r="B410" s="559" t="s">
        <v>112</v>
      </c>
      <c r="C410" s="404">
        <v>50</v>
      </c>
      <c r="D410" s="405">
        <v>50.190181677618867</v>
      </c>
      <c r="E410" s="405">
        <v>50.152887411715831</v>
      </c>
      <c r="F410" s="405">
        <v>50.145067033344795</v>
      </c>
      <c r="G410" s="405">
        <v>50.005676442762535</v>
      </c>
      <c r="H410" s="405">
        <v>50.213675213675216</v>
      </c>
      <c r="I410" s="405">
        <v>50.249208025343187</v>
      </c>
      <c r="J410" s="405">
        <v>50</v>
      </c>
      <c r="K410" s="405">
        <v>50</v>
      </c>
      <c r="L410" s="404">
        <v>50.147474747474746</v>
      </c>
      <c r="M410" s="405">
        <v>50</v>
      </c>
      <c r="N410" s="405">
        <v>49.990169539820485</v>
      </c>
    </row>
    <row r="411" spans="1:14">
      <c r="A411" s="449"/>
      <c r="B411" s="559" t="s">
        <v>113</v>
      </c>
      <c r="C411" s="404">
        <v>50</v>
      </c>
      <c r="D411" s="405">
        <v>50.317020355132094</v>
      </c>
      <c r="E411" s="405">
        <v>50.006030507272079</v>
      </c>
      <c r="F411" s="405">
        <v>50.082997017020531</v>
      </c>
      <c r="G411" s="405">
        <v>50.108778310464537</v>
      </c>
      <c r="H411" s="405">
        <v>50.328205128205127</v>
      </c>
      <c r="I411" s="405">
        <v>49.790038314176243</v>
      </c>
      <c r="J411" s="405">
        <v>50</v>
      </c>
      <c r="K411" s="405">
        <v>49.94380165289256</v>
      </c>
      <c r="L411" s="404">
        <v>50.000423011844333</v>
      </c>
      <c r="M411" s="405">
        <v>50.436363636363637</v>
      </c>
      <c r="N411" s="405">
        <v>49.978842454974647</v>
      </c>
    </row>
    <row r="412" spans="1:14">
      <c r="A412" s="449"/>
      <c r="B412" s="559" t="s">
        <v>114</v>
      </c>
      <c r="C412" s="404">
        <v>50</v>
      </c>
      <c r="D412" s="405">
        <v>50.171887995564184</v>
      </c>
      <c r="E412" s="405">
        <v>50.053595206391478</v>
      </c>
      <c r="F412" s="405">
        <v>50.057082452431288</v>
      </c>
      <c r="G412" s="405">
        <v>50.147039030955582</v>
      </c>
      <c r="H412" s="405">
        <v>49.790297339593117</v>
      </c>
      <c r="I412" s="405">
        <v>50.050545094152625</v>
      </c>
      <c r="J412" s="405">
        <v>49.973417721518985</v>
      </c>
      <c r="K412" s="405">
        <v>50.182948490230906</v>
      </c>
      <c r="L412" s="404">
        <v>50.299862448418153</v>
      </c>
      <c r="M412" s="405">
        <v>50</v>
      </c>
      <c r="N412" s="405">
        <v>50.047195296361039</v>
      </c>
    </row>
    <row r="413" spans="1:14">
      <c r="A413" s="449"/>
      <c r="B413" s="559" t="s">
        <v>115</v>
      </c>
      <c r="C413" s="404">
        <v>50</v>
      </c>
      <c r="D413" s="405">
        <v>50.604090194022021</v>
      </c>
      <c r="E413" s="405">
        <v>50.043832823649339</v>
      </c>
      <c r="F413" s="405">
        <v>50.233516483516482</v>
      </c>
      <c r="G413" s="405">
        <v>50.150511446663423</v>
      </c>
      <c r="H413" s="405">
        <v>50.25978090766823</v>
      </c>
      <c r="I413" s="405">
        <v>50.112323491655971</v>
      </c>
      <c r="J413" s="405">
        <v>50</v>
      </c>
      <c r="K413" s="405">
        <v>50.406130268199234</v>
      </c>
      <c r="L413" s="404">
        <v>50.368743047830925</v>
      </c>
      <c r="M413" s="405">
        <v>50</v>
      </c>
      <c r="N413" s="405">
        <v>50.275025025025023</v>
      </c>
    </row>
    <row r="414" spans="1:14">
      <c r="A414" s="451"/>
      <c r="B414" s="560" t="s">
        <v>116</v>
      </c>
      <c r="C414" s="406">
        <v>50</v>
      </c>
      <c r="D414" s="407">
        <v>50.028713129731138</v>
      </c>
      <c r="E414" s="409">
        <v>50.141410842586545</v>
      </c>
      <c r="F414" s="410">
        <v>50.385330996359713</v>
      </c>
      <c r="G414" s="407">
        <v>50.20183044315992</v>
      </c>
      <c r="H414" s="409">
        <v>50.1546468401487</v>
      </c>
      <c r="I414" s="410">
        <v>50.188118811881189</v>
      </c>
      <c r="J414" s="410">
        <v>50</v>
      </c>
      <c r="K414" s="410">
        <v>49.338487972508588</v>
      </c>
      <c r="L414" s="410">
        <v>50.295568039950062</v>
      </c>
      <c r="M414" s="407">
        <v>50.293141592920357</v>
      </c>
      <c r="N414" s="406">
        <v>50.426573426573427</v>
      </c>
    </row>
    <row r="415" spans="1:14" ht="14.5">
      <c r="A415" s="471">
        <v>2022</v>
      </c>
      <c r="B415" s="577" t="s">
        <v>105</v>
      </c>
      <c r="C415" s="403">
        <v>50</v>
      </c>
      <c r="D415" s="403">
        <v>50.104114189756508</v>
      </c>
      <c r="E415" s="403">
        <v>50.116631954775364</v>
      </c>
      <c r="F415" s="403">
        <v>50.214406449096344</v>
      </c>
      <c r="G415" s="403">
        <v>50.356562795089708</v>
      </c>
      <c r="H415" s="403">
        <v>50.296969696969697</v>
      </c>
      <c r="I415" s="403">
        <v>50.059161873459324</v>
      </c>
      <c r="J415" s="403">
        <v>50.184163701067618</v>
      </c>
      <c r="K415" s="403">
        <v>50.286178861788621</v>
      </c>
      <c r="L415" s="403">
        <v>50.545214521452145</v>
      </c>
      <c r="M415" s="403">
        <v>50</v>
      </c>
      <c r="N415" s="403">
        <v>50.340033500837521</v>
      </c>
    </row>
    <row r="416" spans="1:14" ht="14.5">
      <c r="A416" s="472"/>
      <c r="B416" s="578" t="s">
        <v>106</v>
      </c>
      <c r="C416" s="405">
        <v>50</v>
      </c>
      <c r="D416" s="405">
        <v>50.163596703829377</v>
      </c>
      <c r="E416" s="405">
        <v>50.147307924984879</v>
      </c>
      <c r="F416" s="405">
        <v>50.228067935129616</v>
      </c>
      <c r="G416" s="405">
        <v>50.214285714285715</v>
      </c>
      <c r="H416" s="405">
        <v>50.117975288959748</v>
      </c>
      <c r="I416" s="405">
        <v>50.052478134110785</v>
      </c>
      <c r="J416" s="405">
        <v>50.219306049822066</v>
      </c>
      <c r="K416" s="405">
        <v>50.221682847896439</v>
      </c>
      <c r="L416" s="405">
        <v>50.138076416337285</v>
      </c>
      <c r="M416" s="405">
        <v>50.024570024570025</v>
      </c>
      <c r="N416" s="405">
        <v>50.623799154604839</v>
      </c>
    </row>
    <row r="417" spans="1:14" ht="14.5">
      <c r="A417" s="472"/>
      <c r="B417" s="578" t="s">
        <v>107</v>
      </c>
      <c r="C417" s="405">
        <v>50</v>
      </c>
      <c r="D417" s="405">
        <v>50.128877463581837</v>
      </c>
      <c r="E417" s="405">
        <v>50.216964800923257</v>
      </c>
      <c r="F417" s="405">
        <v>50.339098044432617</v>
      </c>
      <c r="G417" s="405">
        <v>50.289135038279852</v>
      </c>
      <c r="H417" s="405">
        <v>50.173666666666669</v>
      </c>
      <c r="I417" s="405">
        <v>50.042042042042041</v>
      </c>
      <c r="J417" s="405">
        <v>50.286476868327405</v>
      </c>
      <c r="K417" s="405">
        <v>50.174576271186439</v>
      </c>
      <c r="L417" s="405">
        <v>50.243468893078372</v>
      </c>
      <c r="M417" s="405">
        <v>50.161254199328106</v>
      </c>
      <c r="N417" s="405">
        <v>50.628385751707064</v>
      </c>
    </row>
    <row r="418" spans="1:14" ht="14.5">
      <c r="A418" s="472"/>
      <c r="B418" s="578" t="s">
        <v>108</v>
      </c>
      <c r="C418" s="405">
        <v>50</v>
      </c>
      <c r="D418" s="405">
        <v>50.11970766129032</v>
      </c>
      <c r="E418" s="405">
        <v>50.26236716746061</v>
      </c>
      <c r="F418" s="405">
        <v>50.359051611212998</v>
      </c>
      <c r="G418" s="405">
        <v>50.277576096062553</v>
      </c>
      <c r="H418" s="405">
        <v>50.099303774276294</v>
      </c>
      <c r="I418" s="405">
        <v>50.185131195335273</v>
      </c>
      <c r="J418" s="405">
        <v>50.010676156583628</v>
      </c>
      <c r="K418" s="405">
        <v>50</v>
      </c>
      <c r="L418" s="405">
        <v>50.528079429103322</v>
      </c>
      <c r="M418" s="405">
        <v>50.023584905660378</v>
      </c>
      <c r="N418" s="405">
        <v>50.307881839501668</v>
      </c>
    </row>
    <row r="419" spans="1:14" ht="14.5">
      <c r="A419" s="472"/>
      <c r="B419" s="578" t="s">
        <v>109</v>
      </c>
      <c r="C419" s="405">
        <v>50</v>
      </c>
      <c r="D419" s="405">
        <v>50.148754183711418</v>
      </c>
      <c r="E419" s="405">
        <v>50.232220160791591</v>
      </c>
      <c r="F419" s="405">
        <v>50.188319124570555</v>
      </c>
      <c r="G419" s="405">
        <v>50.493409227082083</v>
      </c>
      <c r="H419" s="405">
        <v>50.08506616257089</v>
      </c>
      <c r="I419" s="405">
        <v>50.172672672672675</v>
      </c>
      <c r="J419" s="405">
        <v>50.010676156583628</v>
      </c>
      <c r="K419" s="405">
        <v>50.031509121061362</v>
      </c>
      <c r="L419" s="405">
        <v>50.482649006622516</v>
      </c>
      <c r="M419" s="405">
        <v>50.188225538971807</v>
      </c>
      <c r="N419" s="405">
        <v>50.688451401589695</v>
      </c>
    </row>
    <row r="420" spans="1:14" ht="14.5">
      <c r="A420" s="472"/>
      <c r="B420" s="578" t="s">
        <v>110</v>
      </c>
      <c r="C420" s="405">
        <v>50</v>
      </c>
      <c r="D420" s="405">
        <v>50.159223300970872</v>
      </c>
      <c r="E420" s="405">
        <v>50.281350954478711</v>
      </c>
      <c r="F420" s="405">
        <v>50.425209870262023</v>
      </c>
      <c r="G420" s="405">
        <v>50.346153846153847</v>
      </c>
      <c r="H420" s="405">
        <v>50.107710651828299</v>
      </c>
      <c r="I420" s="405">
        <v>50.301622418879056</v>
      </c>
      <c r="J420" s="405">
        <v>50.352758007117437</v>
      </c>
      <c r="K420" s="405">
        <v>50.016427104722794</v>
      </c>
      <c r="L420" s="405">
        <v>50.333333333333336</v>
      </c>
      <c r="M420" s="405">
        <v>50.048138056312446</v>
      </c>
      <c r="N420" s="405">
        <v>50.327168844877775</v>
      </c>
    </row>
    <row r="421" spans="1:14" ht="14.5">
      <c r="A421" s="472"/>
      <c r="B421" s="578" t="s">
        <v>117</v>
      </c>
      <c r="C421" s="405">
        <v>50</v>
      </c>
      <c r="D421" s="405">
        <v>50.14465725806452</v>
      </c>
      <c r="E421" s="405">
        <v>50.26692087702574</v>
      </c>
      <c r="F421" s="405">
        <v>50.368191086513256</v>
      </c>
      <c r="G421" s="405">
        <v>50.493344025661585</v>
      </c>
      <c r="H421" s="405">
        <v>50.74830659536542</v>
      </c>
      <c r="I421" s="405">
        <v>50.412765957446808</v>
      </c>
      <c r="J421" s="405">
        <v>50.094023323615161</v>
      </c>
      <c r="K421" s="405">
        <v>50.06694560669456</v>
      </c>
      <c r="L421" s="405">
        <v>50.627814569536426</v>
      </c>
      <c r="M421" s="405">
        <v>50</v>
      </c>
      <c r="N421" s="405">
        <v>50.210108537771156</v>
      </c>
    </row>
    <row r="422" spans="1:14" ht="14.5">
      <c r="A422" s="472"/>
      <c r="B422" s="578" t="s">
        <v>112</v>
      </c>
      <c r="C422" s="405">
        <v>50</v>
      </c>
      <c r="D422" s="405">
        <v>50.114195410196508</v>
      </c>
      <c r="E422" s="405">
        <v>50.32069811835288</v>
      </c>
      <c r="F422" s="405">
        <v>50.410852713178294</v>
      </c>
      <c r="G422" s="405">
        <v>50.274601063829785</v>
      </c>
      <c r="H422" s="405">
        <v>50.175288303130145</v>
      </c>
      <c r="I422" s="405">
        <v>50.046280023432921</v>
      </c>
      <c r="J422" s="405">
        <v>50.010676156583628</v>
      </c>
      <c r="K422" s="405">
        <v>50.238333333333337</v>
      </c>
      <c r="L422" s="405">
        <v>50.581421587062806</v>
      </c>
      <c r="M422" s="405">
        <v>50.120758483033931</v>
      </c>
      <c r="N422" s="405">
        <v>50.298565419446597</v>
      </c>
    </row>
    <row r="423" spans="1:14" ht="14.5">
      <c r="A423" s="472"/>
      <c r="B423" s="578" t="s">
        <v>113</v>
      </c>
      <c r="C423" s="405">
        <v>50</v>
      </c>
      <c r="D423" s="405">
        <v>49.838363171355496</v>
      </c>
      <c r="E423" s="405">
        <v>50.275995575221238</v>
      </c>
      <c r="F423" s="405">
        <v>50.213625154130703</v>
      </c>
      <c r="G423" s="405">
        <v>50.23191550925926</v>
      </c>
      <c r="H423" s="405">
        <v>50.070924261874197</v>
      </c>
      <c r="I423" s="405">
        <v>50.039009287925694</v>
      </c>
      <c r="J423" s="405">
        <v>50</v>
      </c>
      <c r="K423" s="405">
        <v>50.214162348877373</v>
      </c>
      <c r="L423" s="405">
        <v>50.340821566110399</v>
      </c>
      <c r="M423" s="405">
        <v>50.034970238095241</v>
      </c>
      <c r="N423" s="405">
        <v>50.166647641025619</v>
      </c>
    </row>
    <row r="424" spans="1:14" ht="14.5">
      <c r="A424" s="472"/>
      <c r="B424" s="578" t="s">
        <v>114</v>
      </c>
      <c r="C424" s="405">
        <v>50</v>
      </c>
      <c r="D424" s="405">
        <v>50.409903536977495</v>
      </c>
      <c r="E424" s="405">
        <v>50.257810377614781</v>
      </c>
      <c r="F424" s="405">
        <v>49.806573765525599</v>
      </c>
      <c r="G424" s="405">
        <v>50.476371061843643</v>
      </c>
      <c r="H424" s="405">
        <v>50.160415003990423</v>
      </c>
      <c r="I424" s="405">
        <v>50.375854214123009</v>
      </c>
      <c r="J424" s="405">
        <v>50.022944550669216</v>
      </c>
      <c r="K424" s="405">
        <v>50.0041928721174</v>
      </c>
      <c r="L424" s="405">
        <v>50.492632461650274</v>
      </c>
      <c r="M424" s="405">
        <v>50.213877754891051</v>
      </c>
      <c r="N424" s="405">
        <v>50.042540887902589</v>
      </c>
    </row>
    <row r="425" spans="1:14" ht="14.5">
      <c r="A425" s="472"/>
      <c r="B425" s="578" t="s">
        <v>115</v>
      </c>
      <c r="C425" s="405">
        <v>50</v>
      </c>
      <c r="D425" s="405">
        <v>49.888703036541429</v>
      </c>
      <c r="E425" s="405">
        <v>50.305530908015378</v>
      </c>
      <c r="F425" s="405">
        <v>49.92813865013386</v>
      </c>
      <c r="G425" s="405">
        <v>50.51907010533963</v>
      </c>
      <c r="H425" s="405">
        <v>50.091059602649004</v>
      </c>
      <c r="I425" s="405">
        <v>50.087209302325583</v>
      </c>
      <c r="J425" s="405">
        <v>50.009160305343514</v>
      </c>
      <c r="K425" s="405">
        <v>50.182300884955751</v>
      </c>
      <c r="L425" s="405">
        <v>50.450015413933293</v>
      </c>
      <c r="M425" s="405">
        <v>50.185580849387229</v>
      </c>
      <c r="N425" s="405">
        <v>50.091779793809941</v>
      </c>
    </row>
    <row r="426" spans="1:14" ht="14.5">
      <c r="A426" s="473"/>
      <c r="B426" s="576" t="s">
        <v>116</v>
      </c>
      <c r="C426" s="407">
        <v>50</v>
      </c>
      <c r="D426" s="407">
        <v>50.407377598926892</v>
      </c>
      <c r="E426" s="407">
        <v>50.298121342777947</v>
      </c>
      <c r="F426" s="407">
        <v>50.276842105263157</v>
      </c>
      <c r="G426" s="407">
        <v>50.271336433178341</v>
      </c>
      <c r="H426" s="407">
        <v>50.022052927024859</v>
      </c>
      <c r="I426" s="407">
        <v>50.191822008418519</v>
      </c>
      <c r="J426" s="407">
        <v>50.050381679389311</v>
      </c>
      <c r="K426" s="407">
        <v>50.222996515679441</v>
      </c>
      <c r="L426" s="407">
        <v>50.549546642653738</v>
      </c>
      <c r="M426" s="407">
        <v>50.768032786885243</v>
      </c>
      <c r="N426" s="407">
        <v>50.062945017551229</v>
      </c>
    </row>
    <row r="427" spans="1:14" ht="14.5">
      <c r="A427" s="471">
        <v>2023</v>
      </c>
      <c r="B427" s="558" t="s">
        <v>105</v>
      </c>
      <c r="C427" s="403">
        <v>50</v>
      </c>
      <c r="D427" s="403">
        <v>50.421726041144005</v>
      </c>
      <c r="E427" s="403">
        <v>50.368705643798577</v>
      </c>
      <c r="F427" s="403">
        <v>50.578022313923277</v>
      </c>
      <c r="G427" s="403">
        <v>50.249180327868849</v>
      </c>
      <c r="H427" s="403">
        <v>50.118578767123289</v>
      </c>
      <c r="I427" s="403">
        <v>50.092032118591725</v>
      </c>
      <c r="J427" s="403">
        <v>50.050652340752109</v>
      </c>
      <c r="K427" s="403">
        <v>50</v>
      </c>
      <c r="L427" s="403">
        <v>50.367664382174041</v>
      </c>
      <c r="M427" s="403">
        <v>50.075994802775291</v>
      </c>
      <c r="N427" s="403">
        <v>50.285745085590719</v>
      </c>
    </row>
    <row r="428" spans="1:14" ht="14.5">
      <c r="A428" s="472"/>
      <c r="B428" s="578" t="s">
        <v>106</v>
      </c>
      <c r="C428" s="405">
        <v>50</v>
      </c>
      <c r="D428" s="405">
        <v>50.409643128321946</v>
      </c>
      <c r="E428" s="405">
        <v>50.260749385749385</v>
      </c>
      <c r="F428" s="405">
        <v>50.583965014577259</v>
      </c>
      <c r="G428" s="405">
        <v>50.304453723034101</v>
      </c>
      <c r="H428" s="405">
        <v>50.680353031465849</v>
      </c>
      <c r="I428" s="405">
        <v>50.080346106304077</v>
      </c>
      <c r="J428" s="405">
        <v>50.410974673829621</v>
      </c>
      <c r="K428" s="405">
        <v>49.836805555555557</v>
      </c>
      <c r="L428" s="405">
        <v>50.380912703532104</v>
      </c>
      <c r="M428" s="405">
        <v>50.143174412126925</v>
      </c>
      <c r="N428" s="405">
        <v>50.217080533611721</v>
      </c>
    </row>
    <row r="429" spans="1:14" ht="14.5">
      <c r="A429" s="472"/>
      <c r="B429" s="578" t="s">
        <v>107</v>
      </c>
      <c r="C429" s="405">
        <v>50</v>
      </c>
      <c r="D429" s="405">
        <v>50.414826894129455</v>
      </c>
      <c r="E429" s="405">
        <v>50.306875184420186</v>
      </c>
      <c r="F429" s="405">
        <v>50.318069126440136</v>
      </c>
      <c r="G429" s="405">
        <v>50.378220967172609</v>
      </c>
      <c r="H429" s="405">
        <v>50.120277898393397</v>
      </c>
      <c r="I429" s="405">
        <v>50.092560046865849</v>
      </c>
      <c r="J429" s="405">
        <v>50.360322333077512</v>
      </c>
      <c r="K429" s="405">
        <v>50.006147540983605</v>
      </c>
      <c r="L429" s="405">
        <v>50.259773168018022</v>
      </c>
      <c r="M429" s="405">
        <v>50.142312822733494</v>
      </c>
      <c r="N429" s="405">
        <v>50.251429421457694</v>
      </c>
    </row>
    <row r="430" spans="1:14" ht="14.5">
      <c r="A430" s="472"/>
      <c r="B430" s="578" t="s">
        <v>108</v>
      </c>
      <c r="C430" s="405">
        <v>50</v>
      </c>
      <c r="D430" s="405">
        <v>50.381207527443806</v>
      </c>
      <c r="E430" s="405">
        <v>50.33006093432634</v>
      </c>
      <c r="F430" s="405">
        <v>50.256713615023472</v>
      </c>
      <c r="G430" s="405">
        <v>50.175432403812216</v>
      </c>
      <c r="H430" s="405">
        <v>50.099417823555754</v>
      </c>
      <c r="I430" s="405">
        <v>50.036158861885006</v>
      </c>
      <c r="J430" s="405">
        <v>50</v>
      </c>
      <c r="K430" s="405">
        <v>50.195895522388057</v>
      </c>
      <c r="L430" s="405">
        <v>50.246177969423755</v>
      </c>
      <c r="M430" s="405">
        <v>50.097615842850857</v>
      </c>
      <c r="N430" s="405">
        <v>50.603941183016452</v>
      </c>
    </row>
    <row r="431" spans="1:14" ht="14.5">
      <c r="A431" s="472"/>
      <c r="B431" s="578" t="s">
        <v>109</v>
      </c>
      <c r="C431" s="405">
        <v>50</v>
      </c>
      <c r="D431" s="405">
        <v>50.39395937747296</v>
      </c>
      <c r="E431" s="405">
        <v>50.245103686635943</v>
      </c>
      <c r="F431" s="405">
        <v>50.202760351317437</v>
      </c>
      <c r="G431" s="405">
        <v>50.206290634334913</v>
      </c>
      <c r="H431" s="405">
        <v>50.194484760522499</v>
      </c>
      <c r="I431" s="405">
        <v>50.008998200359926</v>
      </c>
      <c r="J431" s="405">
        <v>50</v>
      </c>
      <c r="K431" s="405">
        <v>50.188299817184642</v>
      </c>
      <c r="L431" s="405">
        <v>50.402489858183586</v>
      </c>
      <c r="M431" s="405">
        <v>50.1706801050602</v>
      </c>
      <c r="N431" s="405">
        <v>50.480769142549448</v>
      </c>
    </row>
    <row r="432" spans="1:14" ht="14.5">
      <c r="A432" s="472"/>
      <c r="B432" s="578" t="s">
        <v>110</v>
      </c>
      <c r="C432" s="405">
        <v>50</v>
      </c>
      <c r="D432" s="405">
        <v>50.375156995729718</v>
      </c>
      <c r="E432" s="405">
        <v>50.282843894899536</v>
      </c>
      <c r="F432" s="405">
        <v>50.311730395333768</v>
      </c>
      <c r="G432" s="405">
        <v>50.211169921518525</v>
      </c>
      <c r="H432" s="405">
        <v>50.160481444333001</v>
      </c>
      <c r="I432" s="405">
        <v>50.019843656043292</v>
      </c>
      <c r="J432" s="405">
        <v>50.383729854182654</v>
      </c>
      <c r="K432" s="405">
        <v>50.205882352941174</v>
      </c>
      <c r="L432" s="405">
        <v>50.314913364248341</v>
      </c>
      <c r="M432" s="405">
        <v>49.944999524402057</v>
      </c>
      <c r="N432" s="405">
        <v>50.13309803028578</v>
      </c>
    </row>
    <row r="433" spans="1:14" ht="14.5">
      <c r="A433" s="472"/>
      <c r="B433" s="578" t="s">
        <v>117</v>
      </c>
      <c r="C433" s="405">
        <v>50</v>
      </c>
      <c r="D433" s="405">
        <v>50.334148224395264</v>
      </c>
      <c r="E433" s="405">
        <v>50.281043877258391</v>
      </c>
      <c r="F433" s="405">
        <v>50.070361145703615</v>
      </c>
      <c r="G433" s="405">
        <v>50.178796471329555</v>
      </c>
      <c r="H433" s="405">
        <v>50.759047182775994</v>
      </c>
      <c r="I433" s="405">
        <v>50.145502645502646</v>
      </c>
      <c r="J433" s="405">
        <v>50.442824251726783</v>
      </c>
      <c r="K433" s="405">
        <v>50.195445920303605</v>
      </c>
      <c r="L433" s="405">
        <v>50.311177125881919</v>
      </c>
      <c r="M433" s="405">
        <v>50.586173960103679</v>
      </c>
      <c r="N433" s="405">
        <v>50.237634266012464</v>
      </c>
    </row>
    <row r="434" spans="1:14" ht="14.5">
      <c r="A434" s="472"/>
      <c r="B434" s="578" t="s">
        <v>112</v>
      </c>
      <c r="C434" s="405">
        <v>50</v>
      </c>
      <c r="D434" s="405">
        <v>50.290410958904111</v>
      </c>
      <c r="E434" s="405">
        <v>50.104421175101805</v>
      </c>
      <c r="F434" s="405">
        <v>50.306558280518047</v>
      </c>
      <c r="G434" s="405">
        <v>50.131199437214214</v>
      </c>
      <c r="H434" s="405">
        <v>50.55646323882749</v>
      </c>
      <c r="I434" s="405">
        <v>49.999385749385752</v>
      </c>
      <c r="J434" s="405">
        <v>50</v>
      </c>
      <c r="K434" s="405">
        <v>50.20415224913495</v>
      </c>
      <c r="L434" s="405">
        <v>50.134288353941471</v>
      </c>
      <c r="M434" s="405">
        <v>50.088243570262819</v>
      </c>
      <c r="N434" s="405">
        <v>50.354894457474387</v>
      </c>
    </row>
    <row r="435" spans="1:14" ht="14.5">
      <c r="A435" s="472"/>
      <c r="B435" s="578" t="s">
        <v>113</v>
      </c>
      <c r="C435" s="405">
        <v>50</v>
      </c>
      <c r="D435" s="405">
        <v>50.240266963292548</v>
      </c>
      <c r="E435" s="405">
        <v>50.1886586695747</v>
      </c>
      <c r="F435" s="405">
        <v>49.847619047619048</v>
      </c>
      <c r="G435" s="405">
        <v>50.373655538483028</v>
      </c>
      <c r="H435" s="405">
        <v>50.10595725329695</v>
      </c>
      <c r="I435" s="405">
        <v>49.995124923826936</v>
      </c>
      <c r="J435" s="405">
        <v>50.050652340752109</v>
      </c>
      <c r="K435" s="405">
        <v>50.175746924428822</v>
      </c>
      <c r="L435" s="405">
        <v>50.32423469387755</v>
      </c>
      <c r="M435" s="405">
        <v>50.209158101902474</v>
      </c>
      <c r="N435" s="405">
        <v>50.396288799522814</v>
      </c>
    </row>
    <row r="436" spans="1:14" ht="14.5">
      <c r="A436" s="472"/>
      <c r="B436" s="578" t="s">
        <v>114</v>
      </c>
      <c r="C436" s="405">
        <v>50</v>
      </c>
      <c r="D436" s="405">
        <v>50.013245033112582</v>
      </c>
      <c r="E436" s="405">
        <v>50.17841849842992</v>
      </c>
      <c r="F436" s="405">
        <v>50.052502720348201</v>
      </c>
      <c r="G436" s="405">
        <v>50.160701134187654</v>
      </c>
      <c r="H436" s="405">
        <v>50.098186643078286</v>
      </c>
      <c r="I436" s="405">
        <v>50.004169562195969</v>
      </c>
      <c r="J436" s="405">
        <v>50</v>
      </c>
      <c r="K436" s="405">
        <v>49.964150943396227</v>
      </c>
      <c r="L436" s="405">
        <v>50.204723997202883</v>
      </c>
      <c r="M436" s="405">
        <v>50.088243570262819</v>
      </c>
      <c r="N436" s="405">
        <v>50.153226752140093</v>
      </c>
    </row>
    <row r="437" spans="1:14" ht="14.5">
      <c r="A437" s="472"/>
      <c r="B437" s="578" t="s">
        <v>115</v>
      </c>
      <c r="C437" s="405">
        <v>50</v>
      </c>
      <c r="D437" s="405">
        <v>50.721633497027653</v>
      </c>
      <c r="E437" s="405">
        <v>50.161950126085735</v>
      </c>
      <c r="F437" s="405">
        <v>49.770939379916705</v>
      </c>
      <c r="G437" s="405">
        <v>50.253058243563991</v>
      </c>
      <c r="H437" s="405">
        <v>50.673958771560791</v>
      </c>
      <c r="I437" s="405">
        <v>49.991682070240294</v>
      </c>
      <c r="J437" s="405">
        <v>50.057559478127395</v>
      </c>
      <c r="K437" s="405">
        <v>50.216014897579143</v>
      </c>
      <c r="L437" s="405">
        <v>50.217078026896694</v>
      </c>
      <c r="M437" s="405">
        <v>50.098643481524604</v>
      </c>
      <c r="N437" s="405">
        <v>50.223484410247224</v>
      </c>
    </row>
    <row r="438" spans="1:14" ht="14.5">
      <c r="A438" s="473"/>
      <c r="B438" s="576" t="s">
        <v>116</v>
      </c>
      <c r="C438" s="407">
        <v>50</v>
      </c>
      <c r="D438" s="407">
        <v>50.798529903107251</v>
      </c>
      <c r="E438" s="407">
        <v>50.111423747889702</v>
      </c>
      <c r="F438" s="407">
        <v>50.008303507516104</v>
      </c>
      <c r="G438" s="407">
        <v>50.118575553416747</v>
      </c>
      <c r="H438" s="407">
        <v>50.098886414253897</v>
      </c>
      <c r="I438" s="407">
        <v>50.040123456790127</v>
      </c>
      <c r="J438" s="407">
        <v>50.059643687064295</v>
      </c>
      <c r="K438" s="407">
        <v>50.163227016885557</v>
      </c>
      <c r="L438" s="407">
        <v>50.752826153376105</v>
      </c>
      <c r="M438" s="407">
        <v>50.44946548409942</v>
      </c>
      <c r="N438" s="407">
        <v>50.34223234679142</v>
      </c>
    </row>
    <row r="439" spans="1:14" ht="14.5">
      <c r="A439" s="471">
        <v>2024</v>
      </c>
      <c r="B439" s="577" t="s">
        <v>105</v>
      </c>
      <c r="C439" s="403">
        <v>50</v>
      </c>
      <c r="D439" s="403">
        <v>50.288521328193013</v>
      </c>
      <c r="E439" s="403">
        <v>50.074496845899667</v>
      </c>
      <c r="F439" s="403">
        <v>50.056112767687722</v>
      </c>
      <c r="G439" s="403">
        <v>50.294655615890257</v>
      </c>
      <c r="H439" s="403">
        <v>50.14556416881998</v>
      </c>
      <c r="I439" s="403">
        <v>50.028076463560332</v>
      </c>
      <c r="J439" s="403">
        <v>50.059861857252493</v>
      </c>
      <c r="K439" s="403">
        <v>50.035273368606703</v>
      </c>
      <c r="L439" s="403">
        <v>50.460930383003557</v>
      </c>
      <c r="M439" s="403">
        <v>50.033490855693501</v>
      </c>
      <c r="N439" s="403">
        <v>50.33764381592097</v>
      </c>
    </row>
    <row r="440" spans="1:14" ht="14.5">
      <c r="A440" s="472"/>
      <c r="B440" s="578" t="s">
        <v>106</v>
      </c>
      <c r="C440" s="405">
        <v>50</v>
      </c>
      <c r="D440" s="405">
        <v>50.23167451244116</v>
      </c>
      <c r="E440" s="405">
        <v>50.157448252460128</v>
      </c>
      <c r="F440" s="405">
        <v>50.27075858534085</v>
      </c>
      <c r="G440" s="405">
        <v>50.37129565816678</v>
      </c>
      <c r="H440" s="405">
        <v>50.134852801519472</v>
      </c>
      <c r="I440" s="405">
        <v>50.016033254156767</v>
      </c>
      <c r="J440" s="405">
        <v>50.439939370973853</v>
      </c>
      <c r="K440" s="405">
        <v>50.569579288025892</v>
      </c>
      <c r="L440" s="405">
        <v>50.02469135802469</v>
      </c>
      <c r="M440" s="405">
        <v>50.470830691185796</v>
      </c>
      <c r="N440" s="405">
        <v>50.043080158313145</v>
      </c>
    </row>
    <row r="441" spans="1:14" ht="14.5">
      <c r="A441" s="472"/>
      <c r="B441" s="578" t="s">
        <v>107</v>
      </c>
      <c r="C441" s="405">
        <v>50</v>
      </c>
      <c r="D441" s="405">
        <v>50.221804914690416</v>
      </c>
      <c r="E441" s="405">
        <v>50.118105126541209</v>
      </c>
      <c r="F441" s="405">
        <v>50.05569981822903</v>
      </c>
      <c r="G441" s="405">
        <v>50.409679317446304</v>
      </c>
      <c r="H441" s="405">
        <v>50.116864608076007</v>
      </c>
      <c r="I441" s="405">
        <v>50.014874141876433</v>
      </c>
      <c r="J441" s="405">
        <v>50.447139067828722</v>
      </c>
      <c r="K441" s="405">
        <v>50.4</v>
      </c>
      <c r="L441" s="405">
        <v>50.443287037037038</v>
      </c>
      <c r="M441" s="405">
        <v>50.571428571428569</v>
      </c>
      <c r="N441" s="405">
        <v>50.206105539639374</v>
      </c>
    </row>
    <row r="442" spans="1:14" ht="14.5">
      <c r="A442" s="472"/>
      <c r="B442" s="578" t="s">
        <v>108</v>
      </c>
      <c r="C442" s="405">
        <v>50</v>
      </c>
      <c r="D442" s="405">
        <v>50.252352257109628</v>
      </c>
      <c r="E442" s="405">
        <v>50.118126272912427</v>
      </c>
      <c r="F442" s="405">
        <v>50.274469453376206</v>
      </c>
      <c r="G442" s="405">
        <v>50.11834319526627</v>
      </c>
      <c r="H442" s="405">
        <v>50</v>
      </c>
      <c r="I442" s="405">
        <v>50.012106537530265</v>
      </c>
      <c r="J442" s="405">
        <v>50.022646007151373</v>
      </c>
      <c r="K442" s="405">
        <v>50.096153846153847</v>
      </c>
      <c r="L442" s="405">
        <v>50.014871116986122</v>
      </c>
      <c r="M442" s="405">
        <v>50.598430569771409</v>
      </c>
      <c r="N442" s="405">
        <v>50.203397407241845</v>
      </c>
    </row>
    <row r="443" spans="1:14" ht="14.5">
      <c r="A443" s="472"/>
      <c r="B443" s="578" t="s">
        <v>109</v>
      </c>
      <c r="C443" s="405">
        <v>50</v>
      </c>
      <c r="D443" s="405">
        <v>50.196098993288594</v>
      </c>
      <c r="E443" s="405">
        <v>50.095104895104896</v>
      </c>
      <c r="F443" s="405">
        <v>49.790361125862987</v>
      </c>
      <c r="G443" s="405">
        <v>50.143853820598004</v>
      </c>
      <c r="H443" s="405">
        <v>50.107611548556427</v>
      </c>
      <c r="I443" s="405">
        <v>50.001863354037269</v>
      </c>
      <c r="J443" s="405">
        <v>50</v>
      </c>
      <c r="K443" s="405">
        <v>50.389937106918239</v>
      </c>
      <c r="L443" s="405">
        <v>50.312267657992564</v>
      </c>
      <c r="M443" s="405">
        <v>50.468012422360246</v>
      </c>
      <c r="N443" s="405">
        <v>50.228887219658759</v>
      </c>
    </row>
    <row r="444" spans="1:14" ht="14.5">
      <c r="A444" s="472"/>
      <c r="B444" s="578" t="s">
        <v>110</v>
      </c>
      <c r="C444" s="405">
        <v>50</v>
      </c>
      <c r="D444" s="405">
        <v>50.232247191011233</v>
      </c>
      <c r="E444" s="405">
        <v>50.058596265292984</v>
      </c>
      <c r="F444" s="405">
        <v>49.922652695436369</v>
      </c>
      <c r="G444" s="405">
        <v>50.106373815676143</v>
      </c>
      <c r="H444" s="405">
        <v>50.033245844269466</v>
      </c>
      <c r="I444" s="405">
        <v>50.020146520146518</v>
      </c>
      <c r="J444" s="405">
        <v>50</v>
      </c>
      <c r="K444" s="405">
        <v>50</v>
      </c>
      <c r="L444" s="405">
        <v>50.312532773990561</v>
      </c>
      <c r="M444" s="405">
        <v>50.556910569105689</v>
      </c>
      <c r="N444" s="405">
        <v>50.189855263672257</v>
      </c>
    </row>
    <row r="445" spans="1:14" ht="14.5">
      <c r="A445" s="472"/>
      <c r="B445" s="578" t="s">
        <v>117</v>
      </c>
      <c r="C445" s="405">
        <v>50</v>
      </c>
      <c r="D445" s="405">
        <v>50.23741610738255</v>
      </c>
      <c r="E445" s="405">
        <v>50.11241379310345</v>
      </c>
      <c r="F445" s="405">
        <v>49.982465100442631</v>
      </c>
      <c r="G445" s="405">
        <v>50.201712328767123</v>
      </c>
      <c r="H445" s="405">
        <v>50.124234470691164</v>
      </c>
      <c r="I445" s="405">
        <v>50.048722519310758</v>
      </c>
      <c r="J445" s="405">
        <v>50.41824025713138</v>
      </c>
      <c r="K445" s="405">
        <v>50.436708860759495</v>
      </c>
      <c r="L445" s="405">
        <v>50.319296621934292</v>
      </c>
      <c r="M445" s="405">
        <v>50.540143369175624</v>
      </c>
      <c r="N445" s="405">
        <v>50.06303097620583</v>
      </c>
    </row>
    <row r="446" spans="1:14" ht="14.5">
      <c r="A446" s="472"/>
      <c r="B446" s="578" t="s">
        <v>112</v>
      </c>
      <c r="C446" s="405">
        <v>50</v>
      </c>
      <c r="D446" s="405">
        <v>50.259146341463413</v>
      </c>
      <c r="E446" s="405">
        <v>50.082723279648611</v>
      </c>
      <c r="F446" s="405">
        <v>50.06484332548451</v>
      </c>
      <c r="G446" s="405">
        <v>50.10046934584922</v>
      </c>
      <c r="H446" s="405">
        <v>50.210074413279905</v>
      </c>
      <c r="I446" s="405">
        <v>50.054038349796627</v>
      </c>
      <c r="J446" s="405">
        <v>50</v>
      </c>
      <c r="K446" s="405">
        <v>50.472560975609753</v>
      </c>
      <c r="L446" s="405">
        <v>50.249068033550792</v>
      </c>
      <c r="M446" s="405">
        <v>50.517606837606834</v>
      </c>
      <c r="N446" s="405">
        <v>50.233754430176873</v>
      </c>
    </row>
    <row r="447" spans="1:14" ht="14.5">
      <c r="A447" s="472"/>
      <c r="B447" s="578" t="s">
        <v>113</v>
      </c>
      <c r="C447" s="405">
        <v>50</v>
      </c>
      <c r="D447" s="405">
        <v>50.216939546599498</v>
      </c>
      <c r="E447" s="405">
        <v>50.103404791929385</v>
      </c>
      <c r="F447" s="405">
        <v>49.863256943390496</v>
      </c>
      <c r="G447" s="405">
        <v>50.121014385288447</v>
      </c>
      <c r="H447" s="405">
        <v>50</v>
      </c>
      <c r="I447" s="405">
        <v>50.014797951052934</v>
      </c>
      <c r="J447" s="405">
        <v>50</v>
      </c>
      <c r="K447" s="405">
        <v>50.529247910863511</v>
      </c>
      <c r="L447" s="405">
        <v>50.327314343845373</v>
      </c>
      <c r="M447" s="405">
        <v>50.004958165478776</v>
      </c>
      <c r="N447" s="405">
        <v>50.232798613609312</v>
      </c>
    </row>
    <row r="448" spans="1:14" ht="14.5">
      <c r="A448" s="472"/>
      <c r="B448" s="578" t="s">
        <v>114</v>
      </c>
      <c r="C448" s="405">
        <v>50</v>
      </c>
      <c r="D448" s="405">
        <v>50.23741610738255</v>
      </c>
      <c r="E448" s="405">
        <v>50.10405485986881</v>
      </c>
      <c r="F448" s="405">
        <v>49.738352233911733</v>
      </c>
      <c r="G448" s="405">
        <v>50.089309878213804</v>
      </c>
      <c r="H448" s="405">
        <v>50.09581712062257</v>
      </c>
      <c r="I448" s="405">
        <v>50.038325471698116</v>
      </c>
      <c r="J448" s="405">
        <v>50</v>
      </c>
      <c r="K448" s="405">
        <v>50.446927374301673</v>
      </c>
      <c r="L448" s="405">
        <v>50.446927374301673</v>
      </c>
      <c r="M448" s="405">
        <v>50.485705407085149</v>
      </c>
      <c r="N448" s="405">
        <v>49.994235179361979</v>
      </c>
    </row>
    <row r="449" spans="1:14" ht="14.5">
      <c r="A449" s="472"/>
      <c r="B449" s="578" t="s">
        <v>115</v>
      </c>
      <c r="C449" s="405">
        <v>50</v>
      </c>
      <c r="D449" s="405">
        <v>50.23741610738255</v>
      </c>
      <c r="E449" s="405">
        <v>50.089790488859329</v>
      </c>
      <c r="F449" s="405">
        <v>50.021017557349737</v>
      </c>
      <c r="G449" s="405">
        <v>50.131171067738229</v>
      </c>
      <c r="H449" s="405">
        <v>50</v>
      </c>
      <c r="I449" s="405">
        <v>50</v>
      </c>
      <c r="J449" s="405">
        <v>50</v>
      </c>
      <c r="K449" s="405">
        <v>49.791044776119406</v>
      </c>
      <c r="L449" s="405">
        <v>50.577639751552795</v>
      </c>
      <c r="M449" s="405">
        <v>50.530260380014077</v>
      </c>
      <c r="N449" s="405">
        <v>50.029996034665267</v>
      </c>
    </row>
    <row r="450" spans="1:14" ht="14.5">
      <c r="A450" s="473"/>
      <c r="B450" s="576" t="s">
        <v>116</v>
      </c>
      <c r="C450" s="407">
        <v>50</v>
      </c>
      <c r="D450" s="407">
        <v>50.254196642685848</v>
      </c>
      <c r="E450" s="407">
        <v>50.307440476190479</v>
      </c>
      <c r="F450" s="407">
        <v>50.101973684210527</v>
      </c>
      <c r="G450" s="407">
        <v>50.149730633475755</v>
      </c>
      <c r="H450" s="407">
        <v>50.129719264278798</v>
      </c>
      <c r="I450" s="407">
        <v>50.118705035971225</v>
      </c>
      <c r="J450" s="407">
        <v>50</v>
      </c>
      <c r="K450" s="407">
        <v>50.5136186770428</v>
      </c>
      <c r="L450" s="407">
        <v>50.299826259617774</v>
      </c>
      <c r="M450" s="407">
        <v>50.58561376075059</v>
      </c>
      <c r="N450" s="407">
        <v>50.264535615403979</v>
      </c>
    </row>
    <row r="451" spans="1:14" ht="14.5">
      <c r="A451" s="471">
        <v>2025</v>
      </c>
      <c r="B451" s="577" t="s">
        <v>105</v>
      </c>
      <c r="C451" s="403">
        <v>50</v>
      </c>
      <c r="D451" s="403">
        <v>50.298708670356177</v>
      </c>
      <c r="E451" s="403">
        <v>50.202830188679243</v>
      </c>
      <c r="F451" s="403">
        <v>50.238397517280291</v>
      </c>
      <c r="G451" s="403">
        <v>50.277685450974467</v>
      </c>
      <c r="H451" s="403">
        <v>50</v>
      </c>
      <c r="I451" s="403">
        <v>49.856325947105077</v>
      </c>
      <c r="J451" s="403">
        <v>50</v>
      </c>
      <c r="K451" s="403">
        <v>50.037037037037038</v>
      </c>
      <c r="L451" s="403">
        <v>50.299819074696302</v>
      </c>
      <c r="M451" s="403">
        <v>50.634333565945568</v>
      </c>
      <c r="N451" s="403">
        <v>50.432225396001037</v>
      </c>
    </row>
    <row r="452" spans="1:14" ht="14.5">
      <c r="A452" s="472"/>
      <c r="B452" s="578" t="s">
        <v>106</v>
      </c>
      <c r="C452" s="405">
        <v>50</v>
      </c>
      <c r="D452" s="405">
        <v>50.293830262423228</v>
      </c>
      <c r="E452" s="405">
        <v>50.193548387096776</v>
      </c>
      <c r="F452" s="405">
        <v>50.136217552533992</v>
      </c>
      <c r="G452" s="405">
        <v>50.541260558804417</v>
      </c>
      <c r="H452" s="405">
        <v>49.995093666369314</v>
      </c>
      <c r="I452" s="405">
        <v>50.110142630744846</v>
      </c>
      <c r="J452" s="405">
        <v>50</v>
      </c>
      <c r="K452" s="405">
        <v>50</v>
      </c>
      <c r="L452" s="405">
        <v>50.114672008012015</v>
      </c>
      <c r="M452" s="405">
        <v>50.545582047685834</v>
      </c>
      <c r="N452" s="405">
        <v>49.708800690250214</v>
      </c>
    </row>
    <row r="453" spans="1:14" ht="14.5">
      <c r="A453" s="472"/>
      <c r="B453" s="578" t="s">
        <v>107</v>
      </c>
      <c r="C453" s="405">
        <v>50</v>
      </c>
      <c r="D453" s="405">
        <v>50.306495249456773</v>
      </c>
      <c r="E453" s="405">
        <v>50.024198250728865</v>
      </c>
      <c r="F453" s="405">
        <v>50.216202699147431</v>
      </c>
      <c r="G453" s="405">
        <v>50.154616797462012</v>
      </c>
      <c r="H453" s="405">
        <v>50.119270137961728</v>
      </c>
      <c r="I453" s="405">
        <v>49.91448763250883</v>
      </c>
      <c r="J453" s="405">
        <v>50</v>
      </c>
      <c r="K453" s="405">
        <v>50.437597660406269</v>
      </c>
      <c r="L453" s="405">
        <v>50.11361472548397</v>
      </c>
      <c r="M453" s="405">
        <v>50.72296079498345</v>
      </c>
      <c r="N453" s="405">
        <v>50.333191557467437</v>
      </c>
    </row>
    <row r="454" spans="1:14" ht="14.5">
      <c r="A454" s="472"/>
      <c r="B454" s="578" t="s">
        <v>108</v>
      </c>
      <c r="C454" s="405">
        <v>50</v>
      </c>
      <c r="D454" s="405">
        <v>49.807687507799827</v>
      </c>
      <c r="E454" s="405">
        <v>50.274449707439395</v>
      </c>
      <c r="F454" s="405">
        <v>50.102418592082152</v>
      </c>
      <c r="G454" s="405">
        <v>50.085604265402843</v>
      </c>
      <c r="H454" s="405">
        <v>50</v>
      </c>
      <c r="I454" s="405">
        <v>50.0140056022409</v>
      </c>
      <c r="J454" s="405">
        <v>50</v>
      </c>
      <c r="K454" s="405">
        <v>50.404907975460119</v>
      </c>
      <c r="L454" s="405">
        <v>50.336354728074475</v>
      </c>
      <c r="M454" s="405">
        <v>50.077016619375762</v>
      </c>
      <c r="N454" s="405">
        <v>50.28818217510797</v>
      </c>
    </row>
    <row r="455" spans="1:14" ht="14.5">
      <c r="A455" s="472"/>
      <c r="B455" s="578" t="s">
        <v>109</v>
      </c>
      <c r="C455" s="405">
        <v>50</v>
      </c>
      <c r="D455" s="405">
        <v>50.2745174752217</v>
      </c>
      <c r="E455" s="405">
        <v>50.241491085899511</v>
      </c>
      <c r="F455" s="405">
        <v>49.980818242790072</v>
      </c>
      <c r="G455" s="405">
        <v>50.242783708975878</v>
      </c>
      <c r="H455" s="405">
        <v>50.012872628726285</v>
      </c>
      <c r="I455" s="405">
        <v>50.018099547511312</v>
      </c>
      <c r="J455" s="405">
        <v>50.032005954596201</v>
      </c>
      <c r="K455" s="405">
        <v>50.079617834394902</v>
      </c>
      <c r="L455" s="405">
        <v>50.19777158774373</v>
      </c>
      <c r="M455" s="405">
        <v>50.516832917705734</v>
      </c>
      <c r="N455" s="405">
        <v>50.290617577197146</v>
      </c>
    </row>
    <row r="456" spans="1:14" ht="14.5">
      <c r="A456" s="472"/>
      <c r="B456" s="578" t="s">
        <v>110</v>
      </c>
      <c r="C456" s="702">
        <v>50</v>
      </c>
      <c r="D456" s="710">
        <v>50.2</v>
      </c>
      <c r="E456" s="710">
        <v>50</v>
      </c>
      <c r="F456" s="710">
        <v>50</v>
      </c>
      <c r="G456" s="710">
        <v>49.9</v>
      </c>
      <c r="H456" s="710">
        <v>50</v>
      </c>
      <c r="I456" s="710">
        <v>50</v>
      </c>
      <c r="J456" s="710">
        <v>50</v>
      </c>
      <c r="K456" s="710">
        <v>50.3</v>
      </c>
      <c r="L456" s="710">
        <v>50.3</v>
      </c>
      <c r="M456" s="710">
        <v>50.6</v>
      </c>
      <c r="N456" s="710">
        <v>50.3</v>
      </c>
    </row>
    <row r="457" spans="1:14" ht="14.5">
      <c r="A457" s="472"/>
      <c r="B457" s="578" t="s">
        <v>117</v>
      </c>
      <c r="C457" s="702">
        <v>50</v>
      </c>
      <c r="D457" s="710">
        <v>50.300689655172398</v>
      </c>
      <c r="E457" s="710">
        <v>50.015186915887902</v>
      </c>
      <c r="F457" s="710">
        <v>49.898236484533101</v>
      </c>
      <c r="G457" s="710">
        <v>49.9617011801381</v>
      </c>
      <c r="H457" s="710">
        <v>50.264573991031398</v>
      </c>
      <c r="I457" s="710">
        <v>50.000858369098701</v>
      </c>
      <c r="J457" s="710">
        <v>50.0182699478001</v>
      </c>
      <c r="K457" s="710">
        <v>50.450310559006198</v>
      </c>
      <c r="L457" s="710">
        <v>50.2455516014235</v>
      </c>
      <c r="M457" s="710">
        <v>50.599924299772901</v>
      </c>
      <c r="N457" s="710">
        <v>49.805170068027202</v>
      </c>
    </row>
    <row r="458" spans="1:14" ht="14.5">
      <c r="A458" s="473"/>
      <c r="B458" s="576" t="s">
        <v>112</v>
      </c>
      <c r="C458" s="696">
        <v>50</v>
      </c>
      <c r="D458" s="711">
        <v>49.787916322598399</v>
      </c>
      <c r="E458" s="711">
        <v>50.057313943541502</v>
      </c>
      <c r="F458" s="711">
        <v>50.247656915649003</v>
      </c>
      <c r="G458" s="711">
        <v>50.144078144078101</v>
      </c>
      <c r="H458" s="711">
        <v>50.007338740826597</v>
      </c>
      <c r="I458" s="711">
        <v>50.0267737617135</v>
      </c>
      <c r="J458" s="711">
        <v>49.9816479400749</v>
      </c>
      <c r="K458" s="711">
        <v>49.610619469026503</v>
      </c>
      <c r="L458" s="711">
        <v>50.095447870778301</v>
      </c>
      <c r="M458" s="711">
        <v>50.6575288041319</v>
      </c>
      <c r="N458" s="711">
        <v>50.062956884976899</v>
      </c>
    </row>
    <row r="460" spans="1:14" ht="14.5">
      <c r="A460" s="869" t="s">
        <v>355</v>
      </c>
      <c r="B460" s="869"/>
      <c r="C460" s="869"/>
      <c r="D460" s="869"/>
      <c r="E460" s="869"/>
      <c r="F460" s="869"/>
      <c r="G460" s="869"/>
      <c r="H460" s="869"/>
      <c r="I460" s="869"/>
      <c r="J460" s="869"/>
      <c r="K460" s="869"/>
      <c r="L460" s="869"/>
      <c r="M460" s="869"/>
      <c r="N460" s="869"/>
    </row>
    <row r="461" spans="1:14" ht="18.649999999999999" customHeight="1">
      <c r="A461" s="735" t="s">
        <v>98</v>
      </c>
      <c r="B461" s="739"/>
      <c r="C461" s="863" t="s">
        <v>324</v>
      </c>
      <c r="D461" s="864" t="s">
        <v>338</v>
      </c>
      <c r="E461" s="865"/>
      <c r="F461" s="865"/>
      <c r="G461" s="865"/>
      <c r="H461" s="865"/>
      <c r="I461" s="865"/>
      <c r="J461" s="865"/>
      <c r="K461" s="865"/>
      <c r="L461" s="865"/>
      <c r="M461" s="865"/>
      <c r="N461" s="866"/>
    </row>
    <row r="462" spans="1:14" ht="59.15" customHeight="1">
      <c r="A462" s="740"/>
      <c r="B462" s="741"/>
      <c r="C462" s="738"/>
      <c r="D462" s="556" t="s">
        <v>339</v>
      </c>
      <c r="E462" s="556" t="s">
        <v>215</v>
      </c>
      <c r="F462" s="556" t="s">
        <v>340</v>
      </c>
      <c r="G462" s="556" t="s">
        <v>341</v>
      </c>
      <c r="H462" s="556" t="s">
        <v>342</v>
      </c>
      <c r="I462" s="556" t="s">
        <v>343</v>
      </c>
      <c r="J462" s="557" t="s">
        <v>344</v>
      </c>
      <c r="K462" s="557" t="s">
        <v>345</v>
      </c>
      <c r="L462" s="557" t="s">
        <v>346</v>
      </c>
      <c r="M462" s="478" t="s">
        <v>347</v>
      </c>
      <c r="N462" s="478" t="s">
        <v>348</v>
      </c>
    </row>
    <row r="463" spans="1:14" ht="14.5">
      <c r="A463" s="471">
        <v>2020</v>
      </c>
      <c r="B463" s="558" t="s">
        <v>112</v>
      </c>
      <c r="C463" s="402">
        <v>50</v>
      </c>
      <c r="D463" s="403">
        <v>50.234208658623139</v>
      </c>
      <c r="E463" s="403">
        <v>50.404414382342473</v>
      </c>
      <c r="F463" s="403">
        <v>50.459143377885781</v>
      </c>
      <c r="G463" s="403">
        <v>50.17190213101815</v>
      </c>
      <c r="H463" s="403">
        <v>49.961114711600779</v>
      </c>
      <c r="I463" s="403">
        <v>50.255238095238099</v>
      </c>
      <c r="J463" s="403">
        <v>49.976017847183492</v>
      </c>
      <c r="K463" s="403">
        <v>50.128775834658185</v>
      </c>
      <c r="L463" s="402">
        <v>50.196886149854038</v>
      </c>
      <c r="M463" s="403">
        <v>50.2185303514377</v>
      </c>
      <c r="N463" s="403">
        <v>50.103022508038585</v>
      </c>
    </row>
    <row r="464" spans="1:14">
      <c r="A464" s="449"/>
      <c r="B464" s="559" t="s">
        <v>113</v>
      </c>
      <c r="C464" s="404">
        <v>50</v>
      </c>
      <c r="D464" s="405">
        <v>49.941085271317831</v>
      </c>
      <c r="E464" s="405">
        <v>50.167136812411847</v>
      </c>
      <c r="F464" s="405">
        <v>50.275866352005963</v>
      </c>
      <c r="G464" s="405">
        <v>50.396895787139691</v>
      </c>
      <c r="H464" s="405">
        <v>50.081324333011892</v>
      </c>
      <c r="I464" s="405">
        <v>50.379361544172234</v>
      </c>
      <c r="J464" s="405">
        <v>50.032207993791232</v>
      </c>
      <c r="K464" s="405">
        <v>50.271293375394322</v>
      </c>
      <c r="L464" s="404">
        <v>50.181577787571619</v>
      </c>
      <c r="M464" s="405">
        <v>50.283772302463888</v>
      </c>
      <c r="N464" s="405">
        <v>50.391850989522702</v>
      </c>
    </row>
    <row r="465" spans="1:14">
      <c r="A465" s="449"/>
      <c r="B465" s="559" t="s">
        <v>114</v>
      </c>
      <c r="C465" s="404">
        <v>50</v>
      </c>
      <c r="D465" s="405">
        <v>50.0319612590799</v>
      </c>
      <c r="E465" s="405">
        <v>50.082200247218786</v>
      </c>
      <c r="F465" s="405">
        <v>50.006843005658638</v>
      </c>
      <c r="G465" s="405">
        <v>50.140646492434662</v>
      </c>
      <c r="H465" s="405">
        <v>49.995609712391364</v>
      </c>
      <c r="I465" s="405">
        <v>50.204787234042556</v>
      </c>
      <c r="J465" s="405">
        <v>50.083042297244859</v>
      </c>
      <c r="K465" s="405">
        <v>50.069400630914828</v>
      </c>
      <c r="L465" s="404">
        <v>50.464060150375943</v>
      </c>
      <c r="M465" s="405">
        <v>50.329260450160774</v>
      </c>
      <c r="N465" s="405">
        <v>50.184963551300186</v>
      </c>
    </row>
    <row r="466" spans="1:14">
      <c r="A466" s="449"/>
      <c r="B466" s="559" t="s">
        <v>115</v>
      </c>
      <c r="C466" s="404">
        <v>50</v>
      </c>
      <c r="D466" s="405">
        <v>49.977793696275072</v>
      </c>
      <c r="E466" s="405">
        <v>50.133862171541892</v>
      </c>
      <c r="F466" s="405">
        <v>50.167644650655021</v>
      </c>
      <c r="G466" s="405">
        <v>50.251542848214982</v>
      </c>
      <c r="H466" s="405">
        <v>49.998603546990644</v>
      </c>
      <c r="I466" s="405">
        <v>50.307919123841614</v>
      </c>
      <c r="J466" s="405">
        <v>50.002716336825763</v>
      </c>
      <c r="K466" s="405">
        <v>50.072533849129591</v>
      </c>
      <c r="L466" s="404">
        <v>50.261660310941622</v>
      </c>
      <c r="M466" s="405">
        <v>50.397843665768193</v>
      </c>
      <c r="N466" s="405">
        <v>50.227288508274505</v>
      </c>
    </row>
    <row r="467" spans="1:14">
      <c r="A467" s="449"/>
      <c r="B467" s="560" t="s">
        <v>116</v>
      </c>
      <c r="C467" s="406">
        <v>50</v>
      </c>
      <c r="D467" s="407">
        <v>50.155150487494701</v>
      </c>
      <c r="E467" s="407">
        <v>50.293199554069119</v>
      </c>
      <c r="F467" s="407">
        <v>50.557588357588358</v>
      </c>
      <c r="G467" s="407">
        <v>50.289152955514929</v>
      </c>
      <c r="H467" s="407">
        <v>50.272758981513775</v>
      </c>
      <c r="I467" s="407">
        <v>50.300599700149924</v>
      </c>
      <c r="J467" s="407">
        <v>50.074893286767562</v>
      </c>
      <c r="K467" s="407">
        <v>50.110032362459549</v>
      </c>
      <c r="L467" s="406">
        <v>50.689189189189186</v>
      </c>
      <c r="M467" s="407">
        <v>50.214882308276387</v>
      </c>
      <c r="N467" s="407">
        <v>50.430577022153528</v>
      </c>
    </row>
    <row r="468" spans="1:14" ht="14.5">
      <c r="A468" s="471">
        <v>2021</v>
      </c>
      <c r="B468" s="559" t="s">
        <v>105</v>
      </c>
      <c r="C468" s="404">
        <v>50</v>
      </c>
      <c r="D468" s="405">
        <v>49.631143975641585</v>
      </c>
      <c r="E468" s="405">
        <v>50.099593495934961</v>
      </c>
      <c r="F468" s="405">
        <v>50.442166910688144</v>
      </c>
      <c r="G468" s="405">
        <v>50.119669876203574</v>
      </c>
      <c r="H468" s="405">
        <v>50.07838715497023</v>
      </c>
      <c r="I468" s="405">
        <v>50.488824801730352</v>
      </c>
      <c r="J468" s="405">
        <v>50.395348837209305</v>
      </c>
      <c r="K468" s="405">
        <v>49.637239165329056</v>
      </c>
      <c r="L468" s="404">
        <v>49.906905055487051</v>
      </c>
      <c r="M468" s="403">
        <v>49.640058055152394</v>
      </c>
      <c r="N468" s="403">
        <v>50.147054803881375</v>
      </c>
    </row>
    <row r="469" spans="1:14">
      <c r="A469" s="449"/>
      <c r="B469" s="559" t="s">
        <v>106</v>
      </c>
      <c r="C469" s="404">
        <v>50</v>
      </c>
      <c r="D469" s="405">
        <v>50.044524398470877</v>
      </c>
      <c r="E469" s="405">
        <v>50.240439093484419</v>
      </c>
      <c r="F469" s="405">
        <v>50.25780906291245</v>
      </c>
      <c r="G469" s="405">
        <v>50.431420933580092</v>
      </c>
      <c r="H469" s="405">
        <v>50.099157485418019</v>
      </c>
      <c r="I469" s="405">
        <v>50.740157480314963</v>
      </c>
      <c r="J469" s="405">
        <v>50.07874337005304</v>
      </c>
      <c r="K469" s="405">
        <v>50.169660678642714</v>
      </c>
      <c r="L469" s="404">
        <v>49.981272084805653</v>
      </c>
      <c r="M469" s="405">
        <v>50.159961685823752</v>
      </c>
      <c r="N469" s="405">
        <v>50.49877270495827</v>
      </c>
    </row>
    <row r="470" spans="1:14">
      <c r="A470" s="449"/>
      <c r="B470" s="559" t="s">
        <v>107</v>
      </c>
      <c r="C470" s="404">
        <v>50</v>
      </c>
      <c r="D470" s="405">
        <v>49.947689492145798</v>
      </c>
      <c r="E470" s="405">
        <v>50.137083737471713</v>
      </c>
      <c r="F470" s="405">
        <v>50.340565229803026</v>
      </c>
      <c r="G470" s="405">
        <v>50.240021287919106</v>
      </c>
      <c r="H470" s="405">
        <v>50.015048369759946</v>
      </c>
      <c r="I470" s="405">
        <v>50.513914656771803</v>
      </c>
      <c r="J470" s="405">
        <v>50.259216142801705</v>
      </c>
      <c r="K470" s="405">
        <v>50.130016051364365</v>
      </c>
      <c r="L470" s="404">
        <v>50.401650618982117</v>
      </c>
      <c r="M470" s="405">
        <v>50.514285714285712</v>
      </c>
      <c r="N470" s="405">
        <v>50.462062870849643</v>
      </c>
    </row>
    <row r="471" spans="1:14">
      <c r="A471" s="449"/>
      <c r="B471" s="559" t="s">
        <v>108</v>
      </c>
      <c r="C471" s="404">
        <v>50</v>
      </c>
      <c r="D471" s="405">
        <v>50.198831263696128</v>
      </c>
      <c r="E471" s="405">
        <v>50.373113854595339</v>
      </c>
      <c r="F471" s="405">
        <v>50.346401644962306</v>
      </c>
      <c r="G471" s="405">
        <v>50.402372101256859</v>
      </c>
      <c r="H471" s="405">
        <v>50.194986072423397</v>
      </c>
      <c r="I471" s="405">
        <v>50.436347673397719</v>
      </c>
      <c r="J471" s="405">
        <v>50.203310915675118</v>
      </c>
      <c r="K471" s="405">
        <v>50.042904290429043</v>
      </c>
      <c r="L471" s="404">
        <v>49.698113207547166</v>
      </c>
      <c r="M471" s="405">
        <v>50.148659626320068</v>
      </c>
      <c r="N471" s="405">
        <v>50.033374878825647</v>
      </c>
    </row>
    <row r="472" spans="1:14">
      <c r="A472" s="449"/>
      <c r="B472" s="559" t="s">
        <v>109</v>
      </c>
      <c r="C472" s="404">
        <v>50</v>
      </c>
      <c r="D472" s="405">
        <v>50.00199539524175</v>
      </c>
      <c r="E472" s="405">
        <v>50.358833619210976</v>
      </c>
      <c r="F472" s="405">
        <v>50.172884918549656</v>
      </c>
      <c r="G472" s="405">
        <v>50.207036811063659</v>
      </c>
      <c r="H472" s="405">
        <v>50.108864696734059</v>
      </c>
      <c r="I472" s="405">
        <v>50.216361679224974</v>
      </c>
      <c r="J472" s="405">
        <v>50.108935128518972</v>
      </c>
      <c r="K472" s="405">
        <v>50.032051282051285</v>
      </c>
      <c r="L472" s="404">
        <v>50.326492537313435</v>
      </c>
      <c r="M472" s="405">
        <v>50.044701986754966</v>
      </c>
      <c r="N472" s="405">
        <v>49.789698937426209</v>
      </c>
    </row>
    <row r="473" spans="1:14">
      <c r="A473" s="449"/>
      <c r="B473" s="559" t="s">
        <v>110</v>
      </c>
      <c r="C473" s="404">
        <v>50</v>
      </c>
      <c r="D473" s="405">
        <v>50.03921568627451</v>
      </c>
      <c r="E473" s="405">
        <v>50.184615384615384</v>
      </c>
      <c r="F473" s="405">
        <v>50.286400225956783</v>
      </c>
      <c r="G473" s="405">
        <v>50.149189189189187</v>
      </c>
      <c r="H473" s="405">
        <v>50.671514721532461</v>
      </c>
      <c r="I473" s="405">
        <v>50.404060913705585</v>
      </c>
      <c r="J473" s="405">
        <v>50</v>
      </c>
      <c r="K473" s="405">
        <v>49.998368678629689</v>
      </c>
      <c r="L473" s="404">
        <v>49.818220160269931</v>
      </c>
      <c r="M473" s="405">
        <v>49.930769230769229</v>
      </c>
      <c r="N473" s="405">
        <v>50.292487005827688</v>
      </c>
    </row>
    <row r="474" spans="1:14">
      <c r="A474" s="449"/>
      <c r="B474" s="559" t="s">
        <v>117</v>
      </c>
      <c r="C474" s="404">
        <v>50</v>
      </c>
      <c r="D474" s="405">
        <v>50.229672567758108</v>
      </c>
      <c r="E474" s="405">
        <v>50.261398176291792</v>
      </c>
      <c r="F474" s="405">
        <v>50.026134607278351</v>
      </c>
      <c r="G474" s="405">
        <v>50.132262835410941</v>
      </c>
      <c r="H474" s="405">
        <v>50.04090121317158</v>
      </c>
      <c r="I474" s="405">
        <v>50.553326293558605</v>
      </c>
      <c r="J474" s="405">
        <v>50.07874337005304</v>
      </c>
      <c r="K474" s="405">
        <v>49.912280701754383</v>
      </c>
      <c r="L474" s="404">
        <v>50.212686567164177</v>
      </c>
      <c r="M474" s="405">
        <v>50.494533221194281</v>
      </c>
      <c r="N474" s="405">
        <v>50.444091570729128</v>
      </c>
    </row>
    <row r="475" spans="1:14">
      <c r="A475" s="449"/>
      <c r="B475" s="559" t="s">
        <v>112</v>
      </c>
      <c r="C475" s="404">
        <v>50</v>
      </c>
      <c r="D475" s="405">
        <v>50.398917665249321</v>
      </c>
      <c r="E475" s="405">
        <v>50.234732031574573</v>
      </c>
      <c r="F475" s="405">
        <v>50.508250257820556</v>
      </c>
      <c r="G475" s="405">
        <v>50.353074739829708</v>
      </c>
      <c r="H475" s="405">
        <v>50.383547008547012</v>
      </c>
      <c r="I475" s="405">
        <v>50.595564941921857</v>
      </c>
      <c r="J475" s="405">
        <v>50.07896399241946</v>
      </c>
      <c r="K475" s="405">
        <v>49.924217462932454</v>
      </c>
      <c r="L475" s="404">
        <v>49.981818181818184</v>
      </c>
      <c r="M475" s="405">
        <v>50.175115207373274</v>
      </c>
      <c r="N475" s="405">
        <v>50.345775751531555</v>
      </c>
    </row>
    <row r="476" spans="1:14">
      <c r="A476" s="449"/>
      <c r="B476" s="559" t="s">
        <v>113</v>
      </c>
      <c r="C476" s="404">
        <v>50</v>
      </c>
      <c r="D476" s="405">
        <v>50.706799480294499</v>
      </c>
      <c r="E476" s="405">
        <v>50.07059240865555</v>
      </c>
      <c r="F476" s="405">
        <v>50.3984909633269</v>
      </c>
      <c r="G476" s="405">
        <v>50.250123987435941</v>
      </c>
      <c r="H476" s="405">
        <v>50.143589743589743</v>
      </c>
      <c r="I476" s="405">
        <v>50.347126436781608</v>
      </c>
      <c r="J476" s="405">
        <v>50.58609085810432</v>
      </c>
      <c r="K476" s="405">
        <v>49.849586776859503</v>
      </c>
      <c r="L476" s="404">
        <v>50.282994923857871</v>
      </c>
      <c r="M476" s="405">
        <v>49.662121212121214</v>
      </c>
      <c r="N476" s="405">
        <v>50.099842629830391</v>
      </c>
    </row>
    <row r="477" spans="1:14">
      <c r="A477" s="449"/>
      <c r="B477" s="559" t="s">
        <v>114</v>
      </c>
      <c r="C477" s="404">
        <v>50</v>
      </c>
      <c r="D477" s="405">
        <v>50.615469919600777</v>
      </c>
      <c r="E477" s="405">
        <v>50.257656458055926</v>
      </c>
      <c r="F477" s="405">
        <v>50.276532769556027</v>
      </c>
      <c r="G477" s="405">
        <v>50.402422611036336</v>
      </c>
      <c r="H477" s="405">
        <v>50.048513302034429</v>
      </c>
      <c r="I477" s="405">
        <v>50.39345887016848</v>
      </c>
      <c r="J477" s="405">
        <v>50.119620253164555</v>
      </c>
      <c r="K477" s="405">
        <v>49.957371225577262</v>
      </c>
      <c r="L477" s="404">
        <v>50.032324621733153</v>
      </c>
      <c r="M477" s="405">
        <v>50</v>
      </c>
      <c r="N477" s="405">
        <v>49.986492928650883</v>
      </c>
    </row>
    <row r="478" spans="1:14">
      <c r="A478" s="449"/>
      <c r="B478" s="559" t="s">
        <v>115</v>
      </c>
      <c r="C478" s="404">
        <v>50</v>
      </c>
      <c r="D478" s="404">
        <v>50.335736759307814</v>
      </c>
      <c r="E478" s="404">
        <v>50.231736323479446</v>
      </c>
      <c r="F478" s="405">
        <v>50.410370879120876</v>
      </c>
      <c r="G478" s="405">
        <v>50.215619418736807</v>
      </c>
      <c r="H478" s="405">
        <v>50</v>
      </c>
      <c r="I478" s="405">
        <v>50.575096277278561</v>
      </c>
      <c r="J478" s="405">
        <v>50.05</v>
      </c>
      <c r="K478" s="405">
        <v>50.383141762452105</v>
      </c>
      <c r="L478" s="404">
        <v>49.935483870967744</v>
      </c>
      <c r="M478" s="405">
        <v>49.441489361702125</v>
      </c>
      <c r="N478" s="405">
        <v>50.528278278278279</v>
      </c>
    </row>
    <row r="479" spans="1:14">
      <c r="A479" s="449"/>
      <c r="B479" s="559" t="s">
        <v>116</v>
      </c>
      <c r="C479" s="404">
        <v>50</v>
      </c>
      <c r="D479" s="405">
        <v>50.411380840511619</v>
      </c>
      <c r="E479" s="405">
        <v>50.188112344872636</v>
      </c>
      <c r="F479" s="404">
        <v>50.466900364028582</v>
      </c>
      <c r="G479" s="408">
        <v>50.501284521515736</v>
      </c>
      <c r="H479" s="405">
        <v>49.9817843866171</v>
      </c>
      <c r="I479" s="405">
        <v>50.605198019801982</v>
      </c>
      <c r="J479" s="408">
        <v>50.087297921478061</v>
      </c>
      <c r="K479" s="405">
        <v>50.572164948453612</v>
      </c>
      <c r="L479" s="405">
        <v>50.47815230961298</v>
      </c>
      <c r="M479" s="408">
        <v>50.119469026548671</v>
      </c>
      <c r="N479" s="405">
        <v>50.170872605655212</v>
      </c>
    </row>
    <row r="480" spans="1:14" ht="14.5">
      <c r="A480" s="471">
        <v>2022</v>
      </c>
      <c r="B480" s="577" t="s">
        <v>105</v>
      </c>
      <c r="C480" s="403">
        <v>50</v>
      </c>
      <c r="D480" s="403">
        <v>49.789612570468996</v>
      </c>
      <c r="E480" s="403">
        <v>50.270157691163341</v>
      </c>
      <c r="F480" s="403">
        <v>50.673514497464566</v>
      </c>
      <c r="G480" s="403">
        <v>50.268555240793198</v>
      </c>
      <c r="H480" s="403">
        <v>50.039393939393939</v>
      </c>
      <c r="I480" s="403">
        <v>50.561216105176662</v>
      </c>
      <c r="J480" s="403">
        <v>50.02624555160142</v>
      </c>
      <c r="K480" s="403">
        <v>50.06666666666667</v>
      </c>
      <c r="L480" s="403">
        <v>50.285478547854787</v>
      </c>
      <c r="M480" s="403">
        <v>50.62335867311679</v>
      </c>
      <c r="N480" s="403">
        <v>50.412962247133102</v>
      </c>
    </row>
    <row r="481" spans="1:14" ht="14.5">
      <c r="A481" s="472"/>
      <c r="B481" s="578" t="s">
        <v>106</v>
      </c>
      <c r="C481" s="405">
        <v>50</v>
      </c>
      <c r="D481" s="405">
        <v>50.364032961706251</v>
      </c>
      <c r="E481" s="405">
        <v>50.273442226255291</v>
      </c>
      <c r="F481" s="405">
        <v>50.568765164091431</v>
      </c>
      <c r="G481" s="405">
        <v>50.44401993355482</v>
      </c>
      <c r="H481" s="405">
        <v>50.881227580709449</v>
      </c>
      <c r="I481" s="405">
        <v>50.234402332361519</v>
      </c>
      <c r="J481" s="405">
        <v>50</v>
      </c>
      <c r="K481" s="405">
        <v>50.587378640776699</v>
      </c>
      <c r="L481" s="405">
        <v>49.866139657444002</v>
      </c>
      <c r="M481" s="405">
        <v>49.872235872235869</v>
      </c>
      <c r="N481" s="405">
        <v>50.066863071602405</v>
      </c>
    </row>
    <row r="482" spans="1:14" ht="14.5">
      <c r="A482" s="472"/>
      <c r="B482" s="578" t="s">
        <v>107</v>
      </c>
      <c r="C482" s="405">
        <v>50</v>
      </c>
      <c r="D482" s="405">
        <v>50.092716366752356</v>
      </c>
      <c r="E482" s="405">
        <v>50.233987305251013</v>
      </c>
      <c r="F482" s="405">
        <v>50.663695623253957</v>
      </c>
      <c r="G482" s="405">
        <v>50.469946245316827</v>
      </c>
      <c r="H482" s="405">
        <v>50.688333333333333</v>
      </c>
      <c r="I482" s="405">
        <v>50.439189189189186</v>
      </c>
      <c r="J482" s="405">
        <v>50.084074733096088</v>
      </c>
      <c r="K482" s="405">
        <v>50.737288135593218</v>
      </c>
      <c r="L482" s="405">
        <v>50.000807971990305</v>
      </c>
      <c r="M482" s="405">
        <v>50.309070548712207</v>
      </c>
      <c r="N482" s="405">
        <v>50.338095237038409</v>
      </c>
    </row>
    <row r="483" spans="1:14" ht="14.5">
      <c r="A483" s="472"/>
      <c r="B483" s="578" t="s">
        <v>108</v>
      </c>
      <c r="C483" s="405">
        <v>50</v>
      </c>
      <c r="D483" s="405">
        <v>50.309223790322584</v>
      </c>
      <c r="E483" s="405">
        <v>50.512275558812753</v>
      </c>
      <c r="F483" s="405">
        <v>50.498035106104268</v>
      </c>
      <c r="G483" s="405">
        <v>50.186540072605418</v>
      </c>
      <c r="H483" s="405">
        <v>50.744961524367902</v>
      </c>
      <c r="I483" s="405">
        <v>50.345481049562679</v>
      </c>
      <c r="J483" s="405">
        <v>50.110320284697508</v>
      </c>
      <c r="K483" s="405">
        <v>50.022336769759448</v>
      </c>
      <c r="L483" s="405">
        <v>50.213155445237355</v>
      </c>
      <c r="M483" s="405">
        <v>50.117924528301884</v>
      </c>
      <c r="N483" s="405">
        <v>50.36942192286164</v>
      </c>
    </row>
    <row r="484" spans="1:14" ht="14.5">
      <c r="A484" s="472"/>
      <c r="B484" s="578" t="s">
        <v>109</v>
      </c>
      <c r="C484" s="405">
        <v>50</v>
      </c>
      <c r="D484" s="405">
        <v>49.739308293045745</v>
      </c>
      <c r="E484" s="405">
        <v>50.221397649969077</v>
      </c>
      <c r="F484" s="405">
        <v>50.523221783941977</v>
      </c>
      <c r="G484" s="405">
        <v>50.126872378669859</v>
      </c>
      <c r="H484" s="405">
        <v>50.023629489603024</v>
      </c>
      <c r="I484" s="405">
        <v>50.52927927927928</v>
      </c>
      <c r="J484" s="405">
        <v>50.742437722419929</v>
      </c>
      <c r="K484" s="405">
        <v>50.034825870646763</v>
      </c>
      <c r="L484" s="405">
        <v>50.269139072847679</v>
      </c>
      <c r="M484" s="405">
        <v>50.265339966832506</v>
      </c>
      <c r="N484" s="405">
        <v>50.509440577715935</v>
      </c>
    </row>
    <row r="485" spans="1:14" ht="14.5">
      <c r="A485" s="472"/>
      <c r="B485" s="578" t="s">
        <v>110</v>
      </c>
      <c r="C485" s="405">
        <v>50</v>
      </c>
      <c r="D485" s="405">
        <v>50.369190938511323</v>
      </c>
      <c r="E485" s="405">
        <v>50.321879588839941</v>
      </c>
      <c r="F485" s="405">
        <v>50.588781480539303</v>
      </c>
      <c r="G485" s="405">
        <v>50.261498810467884</v>
      </c>
      <c r="H485" s="405">
        <v>50.904213036565977</v>
      </c>
      <c r="I485" s="405">
        <v>50.394542772861357</v>
      </c>
      <c r="J485" s="405">
        <v>50.455516014234874</v>
      </c>
      <c r="K485" s="405">
        <v>50.073921971252567</v>
      </c>
      <c r="L485" s="405">
        <v>50.218791500664011</v>
      </c>
      <c r="M485" s="405">
        <v>50.382379654859221</v>
      </c>
      <c r="N485" s="405">
        <v>50.530337836011782</v>
      </c>
    </row>
    <row r="486" spans="1:14" ht="14.5">
      <c r="A486" s="472"/>
      <c r="B486" s="578" t="s">
        <v>117</v>
      </c>
      <c r="C486" s="405">
        <v>50</v>
      </c>
      <c r="D486" s="405">
        <v>50.319304435483872</v>
      </c>
      <c r="E486" s="405">
        <v>50.396885923101365</v>
      </c>
      <c r="F486" s="405">
        <v>50.409991261287502</v>
      </c>
      <c r="G486" s="405">
        <v>50.311627906976746</v>
      </c>
      <c r="H486" s="405">
        <v>50.735828877005346</v>
      </c>
      <c r="I486" s="405">
        <v>50.240425531914894</v>
      </c>
      <c r="J486" s="405">
        <v>50.151603498542272</v>
      </c>
      <c r="K486" s="405">
        <v>50.014644351464433</v>
      </c>
      <c r="L486" s="405">
        <v>50.33430463576159</v>
      </c>
      <c r="M486" s="405">
        <v>50.487483530961789</v>
      </c>
      <c r="N486" s="405">
        <v>50.681009002185817</v>
      </c>
    </row>
    <row r="487" spans="1:14" ht="14.5">
      <c r="A487" s="472"/>
      <c r="B487" s="578" t="s">
        <v>112</v>
      </c>
      <c r="C487" s="405">
        <v>50</v>
      </c>
      <c r="D487" s="405">
        <v>49.831798818194308</v>
      </c>
      <c r="E487" s="405">
        <v>50.206163076083989</v>
      </c>
      <c r="F487" s="405">
        <v>50.580851353189175</v>
      </c>
      <c r="G487" s="405">
        <v>50.218528368794324</v>
      </c>
      <c r="H487" s="405">
        <v>50.113344316309721</v>
      </c>
      <c r="I487" s="405">
        <v>50.128881077914471</v>
      </c>
      <c r="J487" s="405">
        <v>49.955960854092524</v>
      </c>
      <c r="K487" s="405">
        <v>50.031666666666666</v>
      </c>
      <c r="L487" s="405">
        <v>50.424595712673934</v>
      </c>
      <c r="M487" s="405">
        <v>50.299401197604787</v>
      </c>
      <c r="N487" s="405">
        <v>50.286099367773659</v>
      </c>
    </row>
    <row r="488" spans="1:14" ht="14.5">
      <c r="A488" s="472"/>
      <c r="B488" s="578" t="s">
        <v>113</v>
      </c>
      <c r="C488" s="405">
        <v>50</v>
      </c>
      <c r="D488" s="405">
        <v>50.382608695652173</v>
      </c>
      <c r="E488" s="405">
        <v>50.292588495575224</v>
      </c>
      <c r="F488" s="405">
        <v>50.251387176325522</v>
      </c>
      <c r="G488" s="405">
        <v>50.180555555555557</v>
      </c>
      <c r="H488" s="405">
        <v>49.578305519897306</v>
      </c>
      <c r="I488" s="405">
        <v>50.134984520123837</v>
      </c>
      <c r="J488" s="405">
        <v>50.370106761565836</v>
      </c>
      <c r="K488" s="405">
        <v>50.050086355785837</v>
      </c>
      <c r="L488" s="405">
        <v>50.459563543003853</v>
      </c>
      <c r="M488" s="405">
        <v>50.32217261904762</v>
      </c>
      <c r="N488" s="405">
        <v>50.469897970225794</v>
      </c>
    </row>
    <row r="489" spans="1:14" ht="14.5">
      <c r="A489" s="472"/>
      <c r="B489" s="578" t="s">
        <v>114</v>
      </c>
      <c r="C489" s="405">
        <v>50</v>
      </c>
      <c r="D489" s="405">
        <v>50.306623794212221</v>
      </c>
      <c r="E489" s="405">
        <v>50.303178484107576</v>
      </c>
      <c r="F489" s="405">
        <v>50.32338685246895</v>
      </c>
      <c r="G489" s="405">
        <v>50.087514585764296</v>
      </c>
      <c r="H489" s="405">
        <v>50.495610534716683</v>
      </c>
      <c r="I489" s="405">
        <v>50.496583143507969</v>
      </c>
      <c r="J489" s="405">
        <v>50.081453154875717</v>
      </c>
      <c r="K489" s="405">
        <v>50.050314465408803</v>
      </c>
      <c r="L489" s="405">
        <v>50.166527756422731</v>
      </c>
      <c r="M489" s="405">
        <v>50.277085613724836</v>
      </c>
      <c r="N489" s="405">
        <v>50.129151573915877</v>
      </c>
    </row>
    <row r="490" spans="1:14" ht="14.5">
      <c r="A490" s="472"/>
      <c r="B490" s="578" t="s">
        <v>115</v>
      </c>
      <c r="C490" s="405">
        <v>50</v>
      </c>
      <c r="D490" s="405">
        <v>50.356793618116313</v>
      </c>
      <c r="E490" s="405">
        <v>50.262644188110023</v>
      </c>
      <c r="F490" s="405">
        <v>50.243201352684231</v>
      </c>
      <c r="G490" s="405">
        <v>50.285869960043591</v>
      </c>
      <c r="H490" s="405">
        <v>50.091059602649004</v>
      </c>
      <c r="I490" s="405">
        <v>50.085029069767444</v>
      </c>
      <c r="J490" s="405">
        <v>50.746946564885498</v>
      </c>
      <c r="K490" s="405">
        <v>50.028318584070796</v>
      </c>
      <c r="L490" s="405">
        <v>49.81614620775408</v>
      </c>
      <c r="M490" s="405">
        <v>50.540383877685834</v>
      </c>
      <c r="N490" s="405">
        <v>50.123614851441438</v>
      </c>
    </row>
    <row r="491" spans="1:14" ht="14.5">
      <c r="A491" s="473"/>
      <c r="B491" s="576" t="s">
        <v>116</v>
      </c>
      <c r="C491" s="407">
        <v>50</v>
      </c>
      <c r="D491" s="407">
        <v>50.431790744466802</v>
      </c>
      <c r="E491" s="407">
        <v>50.201108715737604</v>
      </c>
      <c r="F491" s="407">
        <v>50.256842105263161</v>
      </c>
      <c r="G491" s="407">
        <v>50.172941352932355</v>
      </c>
      <c r="H491" s="407">
        <v>49.633520449077785</v>
      </c>
      <c r="I491" s="407">
        <v>50.098616957306071</v>
      </c>
      <c r="J491" s="407">
        <v>50.083969465648856</v>
      </c>
      <c r="K491" s="407">
        <v>50.026132404181183</v>
      </c>
      <c r="L491" s="407">
        <v>50.349886235613774</v>
      </c>
      <c r="M491" s="407">
        <v>50.265573770491805</v>
      </c>
      <c r="N491" s="407">
        <v>50.252042341111384</v>
      </c>
    </row>
    <row r="492" spans="1:14" ht="14.5">
      <c r="A492" s="471">
        <v>2023</v>
      </c>
      <c r="B492" s="577" t="s">
        <v>105</v>
      </c>
      <c r="C492" s="403">
        <v>50</v>
      </c>
      <c r="D492" s="403">
        <v>49.705594581033615</v>
      </c>
      <c r="E492" s="403">
        <v>50.314971274079078</v>
      </c>
      <c r="F492" s="403">
        <v>50.014366498548064</v>
      </c>
      <c r="G492" s="403">
        <v>50.291621129326046</v>
      </c>
      <c r="H492" s="403">
        <v>49.709760273972606</v>
      </c>
      <c r="I492" s="403">
        <v>50.067325509573813</v>
      </c>
      <c r="J492" s="403">
        <v>50.08365310821182</v>
      </c>
      <c r="K492" s="403">
        <v>50.037671232876711</v>
      </c>
      <c r="L492" s="403">
        <v>50.401602191927026</v>
      </c>
      <c r="M492" s="403">
        <v>50.417204463701061</v>
      </c>
      <c r="N492" s="403">
        <v>50.455691448413326</v>
      </c>
    </row>
    <row r="493" spans="1:14" ht="14.5">
      <c r="A493" s="472"/>
      <c r="B493" s="578" t="s">
        <v>106</v>
      </c>
      <c r="C493" s="405">
        <v>50</v>
      </c>
      <c r="D493" s="405">
        <v>49.87686661604657</v>
      </c>
      <c r="E493" s="405">
        <v>50.358108108108105</v>
      </c>
      <c r="F493" s="405">
        <v>50.101603498542275</v>
      </c>
      <c r="G493" s="405">
        <v>50.425713291579683</v>
      </c>
      <c r="H493" s="405">
        <v>50.106293169608598</v>
      </c>
      <c r="I493" s="405">
        <v>50.139060568603213</v>
      </c>
      <c r="J493" s="405">
        <v>50.051803530314658</v>
      </c>
      <c r="K493" s="405">
        <v>50.027777777777779</v>
      </c>
      <c r="L493" s="405">
        <v>50.08918182861705</v>
      </c>
      <c r="M493" s="405">
        <v>50.075154222941812</v>
      </c>
      <c r="N493" s="405">
        <v>50.376350177785916</v>
      </c>
    </row>
    <row r="494" spans="1:14" ht="14.5">
      <c r="A494" s="472"/>
      <c r="B494" s="578" t="s">
        <v>107</v>
      </c>
      <c r="C494" s="405">
        <v>50</v>
      </c>
      <c r="D494" s="405">
        <v>49.707099849473153</v>
      </c>
      <c r="E494" s="405">
        <v>50.308940690469164</v>
      </c>
      <c r="F494" s="405">
        <v>50.311214816975351</v>
      </c>
      <c r="G494" s="405">
        <v>50.345570067066717</v>
      </c>
      <c r="H494" s="405">
        <v>50.14676508901433</v>
      </c>
      <c r="I494" s="405">
        <v>50.128881077914471</v>
      </c>
      <c r="J494" s="405">
        <v>50.384881043745203</v>
      </c>
      <c r="K494" s="405">
        <v>50.008196721311478</v>
      </c>
      <c r="L494" s="405">
        <v>50.004247170698591</v>
      </c>
      <c r="M494" s="405">
        <v>50.20874070560177</v>
      </c>
      <c r="N494" s="405">
        <v>50.13346804090596</v>
      </c>
    </row>
    <row r="495" spans="1:14" ht="14.5">
      <c r="A495" s="472"/>
      <c r="B495" s="578" t="s">
        <v>108</v>
      </c>
      <c r="C495" s="405">
        <v>50</v>
      </c>
      <c r="D495" s="405">
        <v>49.660611604809198</v>
      </c>
      <c r="E495" s="405">
        <v>50.321597833446177</v>
      </c>
      <c r="F495" s="405">
        <v>50.070985915492955</v>
      </c>
      <c r="G495" s="405">
        <v>50.39392869749382</v>
      </c>
      <c r="H495" s="405">
        <v>50.105687416032247</v>
      </c>
      <c r="I495" s="405">
        <v>50.066390041493776</v>
      </c>
      <c r="J495" s="405">
        <v>50.467382962394474</v>
      </c>
      <c r="K495" s="405">
        <v>50.005597014925371</v>
      </c>
      <c r="L495" s="405">
        <v>50.096824774598197</v>
      </c>
      <c r="M495" s="405">
        <v>50.635683729360181</v>
      </c>
      <c r="N495" s="405">
        <v>50.25022018907282</v>
      </c>
    </row>
    <row r="496" spans="1:14" ht="14.5">
      <c r="A496" s="472"/>
      <c r="B496" s="578" t="s">
        <v>109</v>
      </c>
      <c r="C496" s="405">
        <v>50</v>
      </c>
      <c r="D496" s="405">
        <v>50.304537061461353</v>
      </c>
      <c r="E496" s="405">
        <v>50.214573732718897</v>
      </c>
      <c r="F496" s="405">
        <v>50.119949811794228</v>
      </c>
      <c r="G496" s="405">
        <v>50.215076436478654</v>
      </c>
      <c r="H496" s="405">
        <v>49.419448476052253</v>
      </c>
      <c r="I496" s="405">
        <v>50.007798440311937</v>
      </c>
      <c r="J496" s="405">
        <v>50.08365310821182</v>
      </c>
      <c r="K496" s="405">
        <v>50.054844606946986</v>
      </c>
      <c r="L496" s="405">
        <v>50.47124611686511</v>
      </c>
      <c r="M496" s="405">
        <v>50.458196961872957</v>
      </c>
      <c r="N496" s="405">
        <v>50.171010162989297</v>
      </c>
    </row>
    <row r="497" spans="1:14" ht="14.5">
      <c r="A497" s="472"/>
      <c r="B497" s="578" t="s">
        <v>110</v>
      </c>
      <c r="C497" s="405">
        <v>50</v>
      </c>
      <c r="D497" s="405">
        <v>50.248304446119064</v>
      </c>
      <c r="E497" s="405">
        <v>50.362905718701697</v>
      </c>
      <c r="F497" s="405">
        <v>50.202851587815942</v>
      </c>
      <c r="G497" s="405">
        <v>50.175944515422522</v>
      </c>
      <c r="H497" s="405">
        <v>49.955867602808425</v>
      </c>
      <c r="I497" s="405">
        <v>50.04028863499699</v>
      </c>
      <c r="J497" s="405">
        <v>50.478511128165771</v>
      </c>
      <c r="K497" s="405">
        <v>50.057093425605537</v>
      </c>
      <c r="L497" s="405">
        <v>50.270863797224898</v>
      </c>
      <c r="M497" s="405">
        <v>50.702289276139929</v>
      </c>
      <c r="N497" s="405">
        <v>50.412615279517247</v>
      </c>
    </row>
    <row r="498" spans="1:14" ht="14.5">
      <c r="A498" s="472"/>
      <c r="B498" s="578" t="s">
        <v>117</v>
      </c>
      <c r="C498" s="405">
        <v>50</v>
      </c>
      <c r="D498" s="405">
        <v>50.397452393206379</v>
      </c>
      <c r="E498" s="405">
        <v>50.209635790077428</v>
      </c>
      <c r="F498" s="405">
        <v>50.220112079701124</v>
      </c>
      <c r="G498" s="405">
        <v>50.399810964083173</v>
      </c>
      <c r="H498" s="405">
        <v>50.841502519468619</v>
      </c>
      <c r="I498" s="405">
        <v>50.107804232804234</v>
      </c>
      <c r="J498" s="405">
        <v>50.075211051419799</v>
      </c>
      <c r="K498" s="405">
        <v>50.032258064516128</v>
      </c>
      <c r="L498" s="405">
        <v>50.314890456739697</v>
      </c>
      <c r="M498" s="405">
        <v>50.691734948681678</v>
      </c>
      <c r="N498" s="405">
        <v>50.265614639968177</v>
      </c>
    </row>
    <row r="499" spans="1:14" ht="14.5">
      <c r="A499" s="472"/>
      <c r="B499" s="578" t="s">
        <v>112</v>
      </c>
      <c r="C499" s="405">
        <v>50</v>
      </c>
      <c r="D499" s="405">
        <v>50.847534246575343</v>
      </c>
      <c r="E499" s="405">
        <v>10</v>
      </c>
      <c r="F499" s="405">
        <v>50.427941581702946</v>
      </c>
      <c r="G499" s="405">
        <v>50.363172704889202</v>
      </c>
      <c r="H499" s="405">
        <v>50.138395002402689</v>
      </c>
      <c r="I499" s="405">
        <v>49.987100737100739</v>
      </c>
      <c r="J499" s="405">
        <v>50.097467382962392</v>
      </c>
      <c r="K499" s="405">
        <v>50.050173010380625</v>
      </c>
      <c r="L499" s="405">
        <v>50.206207227941235</v>
      </c>
      <c r="M499" s="405">
        <v>50.279732117733133</v>
      </c>
      <c r="N499" s="405">
        <v>50.606962103444019</v>
      </c>
    </row>
    <row r="500" spans="1:14" ht="14.5">
      <c r="A500" s="472"/>
      <c r="B500" s="578" t="s">
        <v>113</v>
      </c>
      <c r="C500" s="405">
        <v>50</v>
      </c>
      <c r="D500" s="405">
        <v>50.304041527623284</v>
      </c>
      <c r="E500" s="405">
        <v>50.131679389312978</v>
      </c>
      <c r="F500" s="405">
        <v>50.35518207282913</v>
      </c>
      <c r="G500" s="405">
        <v>50.224193323089814</v>
      </c>
      <c r="H500" s="405">
        <v>49.974988631195998</v>
      </c>
      <c r="I500" s="405">
        <v>50.044485070079219</v>
      </c>
      <c r="J500" s="405">
        <v>50.097467382962392</v>
      </c>
      <c r="K500" s="405">
        <v>50.031634446397184</v>
      </c>
      <c r="L500" s="405">
        <v>50.137244897959185</v>
      </c>
      <c r="M500" s="405">
        <v>50.225772140826592</v>
      </c>
      <c r="N500" s="405">
        <v>50.655441913539384</v>
      </c>
    </row>
    <row r="501" spans="1:14" ht="14.5">
      <c r="A501" s="472"/>
      <c r="B501" s="578" t="s">
        <v>114</v>
      </c>
      <c r="C501" s="405">
        <v>50</v>
      </c>
      <c r="D501" s="405">
        <v>50.880794701986758</v>
      </c>
      <c r="E501" s="405">
        <v>50.152726234656008</v>
      </c>
      <c r="F501" s="405">
        <v>50.421517954298153</v>
      </c>
      <c r="G501" s="405">
        <v>50.180291648254531</v>
      </c>
      <c r="H501" s="405">
        <v>50.811587793011938</v>
      </c>
      <c r="I501" s="405">
        <v>50.059068797776234</v>
      </c>
      <c r="J501" s="405">
        <v>50.062096774193549</v>
      </c>
      <c r="K501" s="405">
        <v>50.011320754716984</v>
      </c>
      <c r="L501" s="405">
        <v>49.804672989727486</v>
      </c>
      <c r="M501" s="405">
        <v>50.064618155214134</v>
      </c>
      <c r="N501" s="405">
        <v>50.226330497391004</v>
      </c>
    </row>
    <row r="502" spans="1:14" ht="14.5">
      <c r="A502" s="472"/>
      <c r="B502" s="578" t="s">
        <v>115</v>
      </c>
      <c r="C502" s="405">
        <v>50</v>
      </c>
      <c r="D502" s="405">
        <v>50.567071594727317</v>
      </c>
      <c r="E502" s="405">
        <v>50.212104230876996</v>
      </c>
      <c r="F502" s="405">
        <v>49.834644454727751</v>
      </c>
      <c r="G502" s="405">
        <v>50.119408435274785</v>
      </c>
      <c r="H502" s="405">
        <v>50.040807740849807</v>
      </c>
      <c r="I502" s="405">
        <v>50.069316081330868</v>
      </c>
      <c r="J502" s="405">
        <v>50.152340752110511</v>
      </c>
      <c r="K502" s="405">
        <v>50.003724394785849</v>
      </c>
      <c r="L502" s="405">
        <v>49.906570504388014</v>
      </c>
      <c r="M502" s="405">
        <v>50.669605327976356</v>
      </c>
      <c r="N502" s="405">
        <v>50.587387113227329</v>
      </c>
    </row>
    <row r="503" spans="1:14" ht="14.5">
      <c r="A503" s="473"/>
      <c r="B503" s="576" t="s">
        <v>116</v>
      </c>
      <c r="C503" s="407">
        <v>50</v>
      </c>
      <c r="D503" s="407">
        <v>49.379886401603741</v>
      </c>
      <c r="E503" s="407">
        <v>50.243669105233536</v>
      </c>
      <c r="F503" s="407">
        <v>50.117537580529707</v>
      </c>
      <c r="G503" s="407">
        <v>50.272954764196342</v>
      </c>
      <c r="H503" s="407">
        <v>50.845434298440978</v>
      </c>
      <c r="I503" s="407">
        <v>50.05</v>
      </c>
      <c r="J503" s="407">
        <v>50.087529047250193</v>
      </c>
      <c r="K503" s="407">
        <v>50.022514071294559</v>
      </c>
      <c r="L503" s="407">
        <v>50.321112129544758</v>
      </c>
      <c r="M503" s="407">
        <v>50.584305129329245</v>
      </c>
      <c r="N503" s="407">
        <v>50.285959671509261</v>
      </c>
    </row>
    <row r="504" spans="1:14" ht="14.5">
      <c r="A504" s="471">
        <v>2024</v>
      </c>
      <c r="B504" s="577" t="s">
        <v>105</v>
      </c>
      <c r="C504" s="403">
        <v>50</v>
      </c>
      <c r="D504" s="403">
        <v>50.252829250093271</v>
      </c>
      <c r="E504" s="403">
        <v>50.055572243917091</v>
      </c>
      <c r="F504" s="403">
        <v>50.03185145025752</v>
      </c>
      <c r="G504" s="403">
        <v>50.20605887396399</v>
      </c>
      <c r="H504" s="403">
        <v>49.528854435831178</v>
      </c>
      <c r="I504" s="403">
        <v>50.125448028673837</v>
      </c>
      <c r="J504" s="403">
        <v>49.986185725249427</v>
      </c>
      <c r="K504" s="403">
        <v>50.028218694885361</v>
      </c>
      <c r="L504" s="403">
        <v>50.414425436554843</v>
      </c>
      <c r="M504" s="403">
        <v>50.009228852400661</v>
      </c>
      <c r="N504" s="403">
        <v>50.482920472733447</v>
      </c>
    </row>
    <row r="505" spans="1:14" ht="14.5">
      <c r="A505" s="472"/>
      <c r="B505" s="578" t="s">
        <v>106</v>
      </c>
      <c r="C505" s="405">
        <v>50</v>
      </c>
      <c r="D505" s="405">
        <v>49.616341627437791</v>
      </c>
      <c r="E505" s="405">
        <v>50.084153376314895</v>
      </c>
      <c r="F505" s="405">
        <v>50.337647360328035</v>
      </c>
      <c r="G505" s="405">
        <v>49.93642315644383</v>
      </c>
      <c r="H505" s="405">
        <v>49.290123456790127</v>
      </c>
      <c r="I505" s="405">
        <v>50.014251781472687</v>
      </c>
      <c r="J505" s="405">
        <v>50.077302008336488</v>
      </c>
      <c r="K505" s="405">
        <v>50.168284789644012</v>
      </c>
      <c r="L505" s="405">
        <v>49.834567901234571</v>
      </c>
      <c r="M505" s="405">
        <v>50.081166772352567</v>
      </c>
      <c r="N505" s="405">
        <v>49.736782488212356</v>
      </c>
    </row>
    <row r="506" spans="1:14" ht="14.5">
      <c r="A506" s="472"/>
      <c r="B506" s="578" t="s">
        <v>107</v>
      </c>
      <c r="C506" s="405">
        <v>50</v>
      </c>
      <c r="D506" s="405">
        <v>50.276853739671637</v>
      </c>
      <c r="E506" s="405">
        <v>50.268656716417908</v>
      </c>
      <c r="F506" s="405">
        <v>50.60984159958452</v>
      </c>
      <c r="G506" s="405">
        <v>50.256546042953808</v>
      </c>
      <c r="H506" s="405">
        <v>50.134916864608073</v>
      </c>
      <c r="I506" s="405">
        <v>50.049199084668189</v>
      </c>
      <c r="J506" s="405">
        <v>50.192497158014397</v>
      </c>
      <c r="K506" s="405">
        <v>50.122580645161293</v>
      </c>
      <c r="L506" s="405">
        <v>49.714988425925924</v>
      </c>
      <c r="M506" s="405">
        <v>50.074162679425839</v>
      </c>
      <c r="N506" s="405">
        <v>50.142014319065041</v>
      </c>
    </row>
    <row r="507" spans="1:14" ht="14.5">
      <c r="A507" s="472"/>
      <c r="B507" s="578" t="s">
        <v>108</v>
      </c>
      <c r="C507" s="405">
        <v>50</v>
      </c>
      <c r="D507" s="405">
        <v>50.27117031398668</v>
      </c>
      <c r="E507" s="405">
        <v>50.195926680244398</v>
      </c>
      <c r="F507" s="405">
        <v>50.400385852090032</v>
      </c>
      <c r="G507" s="405">
        <v>50.134404057480978</v>
      </c>
      <c r="H507" s="405">
        <v>50.627734033245844</v>
      </c>
      <c r="I507" s="405">
        <v>50.065980629539951</v>
      </c>
      <c r="J507" s="405">
        <v>50.564958283671039</v>
      </c>
      <c r="K507" s="405">
        <v>49.935897435897438</v>
      </c>
      <c r="L507" s="405">
        <v>50.608063450099138</v>
      </c>
      <c r="M507" s="405">
        <v>50.151484135107474</v>
      </c>
      <c r="N507" s="405">
        <v>50.341417076441665</v>
      </c>
    </row>
    <row r="508" spans="1:14" ht="14.5">
      <c r="A508" s="472"/>
      <c r="B508" s="578" t="s">
        <v>109</v>
      </c>
      <c r="C508" s="405">
        <v>50</v>
      </c>
      <c r="D508" s="405">
        <v>50.241401006711406</v>
      </c>
      <c r="E508" s="405">
        <v>50.173776223776223</v>
      </c>
      <c r="F508" s="405">
        <v>50.05337227827934</v>
      </c>
      <c r="G508" s="405">
        <v>50.114950166112955</v>
      </c>
      <c r="H508" s="405">
        <v>49.51312335958005</v>
      </c>
      <c r="I508" s="405">
        <v>50.035403726708076</v>
      </c>
      <c r="J508" s="405">
        <v>50.13830996589617</v>
      </c>
      <c r="K508" s="405">
        <v>50.188679245283019</v>
      </c>
      <c r="L508" s="405">
        <v>50.153274235058625</v>
      </c>
      <c r="M508" s="405">
        <v>50.704968944099377</v>
      </c>
      <c r="N508" s="405">
        <v>50.307114497263655</v>
      </c>
    </row>
    <row r="509" spans="1:14" ht="14.5">
      <c r="A509" s="472"/>
      <c r="B509" s="578" t="s">
        <v>110</v>
      </c>
      <c r="C509" s="405">
        <v>50</v>
      </c>
      <c r="D509" s="405">
        <v>49.337191011235959</v>
      </c>
      <c r="E509" s="405">
        <v>50.063747585318737</v>
      </c>
      <c r="F509" s="405">
        <v>50.25148214531918</v>
      </c>
      <c r="G509" s="405">
        <v>50.071633649153029</v>
      </c>
      <c r="H509" s="405">
        <v>50.090988626421698</v>
      </c>
      <c r="I509" s="405">
        <v>50.124542124542124</v>
      </c>
      <c r="J509" s="405">
        <v>50.047366426676774</v>
      </c>
      <c r="K509" s="405">
        <v>49.880503144654085</v>
      </c>
      <c r="L509" s="405">
        <v>50.131095962244366</v>
      </c>
      <c r="M509" s="405">
        <v>50.610864745011085</v>
      </c>
      <c r="N509" s="405">
        <v>50.129016490103332</v>
      </c>
    </row>
    <row r="510" spans="1:14" ht="14.5">
      <c r="A510" s="472"/>
      <c r="B510" s="578" t="s">
        <v>117</v>
      </c>
      <c r="C510" s="405">
        <v>50</v>
      </c>
      <c r="D510" s="405">
        <v>49.867030201342281</v>
      </c>
      <c r="E510" s="405">
        <v>50.077931034482759</v>
      </c>
      <c r="F510" s="405">
        <v>50.244637385086826</v>
      </c>
      <c r="G510" s="405">
        <v>50.204965753424659</v>
      </c>
      <c r="H510" s="405">
        <v>49.963692038495189</v>
      </c>
      <c r="I510" s="405">
        <v>49.918003565062392</v>
      </c>
      <c r="J510" s="405">
        <v>50.050220972278026</v>
      </c>
      <c r="K510" s="405">
        <v>50.063291139240505</v>
      </c>
      <c r="L510" s="405">
        <v>50.338732068486813</v>
      </c>
      <c r="M510" s="405">
        <v>50.64731182795699</v>
      </c>
      <c r="N510" s="405">
        <v>50.175912538147948</v>
      </c>
    </row>
    <row r="511" spans="1:14" ht="14.5">
      <c r="A511" s="472"/>
      <c r="B511" s="578" t="s">
        <v>112</v>
      </c>
      <c r="C511" s="405">
        <v>50</v>
      </c>
      <c r="D511" s="405">
        <v>50.223253198369186</v>
      </c>
      <c r="E511" s="405">
        <v>50</v>
      </c>
      <c r="F511" s="405">
        <v>50.405702328014648</v>
      </c>
      <c r="G511" s="405">
        <v>50.327777777777776</v>
      </c>
      <c r="H511" s="405">
        <v>50.776465028355389</v>
      </c>
      <c r="I511" s="405">
        <v>50</v>
      </c>
      <c r="J511" s="405">
        <v>50.441117764471059</v>
      </c>
      <c r="K511" s="405">
        <v>50</v>
      </c>
      <c r="L511" s="405">
        <v>49.938257222739985</v>
      </c>
      <c r="M511" s="405">
        <v>50.603418803418805</v>
      </c>
      <c r="N511" s="405">
        <v>50.17910010259417</v>
      </c>
    </row>
    <row r="512" spans="1:14" ht="14.5">
      <c r="A512" s="472"/>
      <c r="B512" s="578" t="s">
        <v>113</v>
      </c>
      <c r="C512" s="405">
        <v>50</v>
      </c>
      <c r="D512" s="405">
        <v>50.182934508816118</v>
      </c>
      <c r="E512" s="405">
        <v>50.103404791929385</v>
      </c>
      <c r="F512" s="405">
        <v>50.025800576718773</v>
      </c>
      <c r="G512" s="405">
        <v>50.068070591724755</v>
      </c>
      <c r="H512" s="405">
        <v>49.412948381452317</v>
      </c>
      <c r="I512" s="405">
        <v>50.054069436539557</v>
      </c>
      <c r="J512" s="405">
        <v>50.071514664523903</v>
      </c>
      <c r="K512" s="405">
        <v>49.958217270194986</v>
      </c>
      <c r="L512" s="405">
        <v>50.008138351983725</v>
      </c>
      <c r="M512" s="405">
        <v>50.041834521227145</v>
      </c>
      <c r="N512" s="405">
        <v>50.471267107492778</v>
      </c>
    </row>
    <row r="513" spans="1:14" ht="14.5">
      <c r="A513" s="472"/>
      <c r="B513" s="578" t="s">
        <v>114</v>
      </c>
      <c r="C513" s="405">
        <v>50</v>
      </c>
      <c r="D513" s="405">
        <v>49.790268456375841</v>
      </c>
      <c r="E513" s="405">
        <v>50.102564102564102</v>
      </c>
      <c r="F513" s="405">
        <v>49.962836453067361</v>
      </c>
      <c r="G513" s="405">
        <v>49.894301608780637</v>
      </c>
      <c r="H513" s="405">
        <v>50.168287937743187</v>
      </c>
      <c r="I513" s="405">
        <v>50.130896226415096</v>
      </c>
      <c r="J513" s="405">
        <v>50.04258738449176</v>
      </c>
      <c r="K513" s="405">
        <v>49.868715083798882</v>
      </c>
      <c r="L513" s="405">
        <v>50.035228988424763</v>
      </c>
      <c r="M513" s="405">
        <v>50.058732131758859</v>
      </c>
      <c r="N513" s="405">
        <v>50.44340056609483</v>
      </c>
    </row>
    <row r="514" spans="1:14" ht="14.5">
      <c r="A514" s="472"/>
      <c r="B514" s="578" t="s">
        <v>115</v>
      </c>
      <c r="C514" s="405">
        <v>50</v>
      </c>
      <c r="D514" s="405">
        <v>50.229341442953022</v>
      </c>
      <c r="E514" s="405">
        <v>50.103425340871297</v>
      </c>
      <c r="F514" s="405">
        <v>49.881712161988979</v>
      </c>
      <c r="G514" s="405">
        <v>49.852324913892076</v>
      </c>
      <c r="H514" s="405">
        <v>49.9912510936133</v>
      </c>
      <c r="I514" s="405">
        <v>50.112974404236539</v>
      </c>
      <c r="J514" s="405">
        <v>50.05122950819672</v>
      </c>
      <c r="K514" s="405">
        <v>50.044776119402982</v>
      </c>
      <c r="L514" s="405">
        <v>50.081309994353475</v>
      </c>
      <c r="M514" s="405">
        <v>50.164320900774101</v>
      </c>
      <c r="N514" s="405">
        <v>50.21083961740937</v>
      </c>
    </row>
    <row r="515" spans="1:14" ht="14.5">
      <c r="A515" s="473"/>
      <c r="B515" s="576" t="s">
        <v>116</v>
      </c>
      <c r="C515" s="407">
        <v>50</v>
      </c>
      <c r="D515" s="407">
        <v>50.179056754596324</v>
      </c>
      <c r="E515" s="407">
        <v>50.177083333333336</v>
      </c>
      <c r="F515" s="407">
        <v>49.882763157894736</v>
      </c>
      <c r="G515" s="407">
        <v>50.141556752740108</v>
      </c>
      <c r="H515" s="407">
        <v>50.875121006776382</v>
      </c>
      <c r="I515" s="407">
        <v>50.205035971223019</v>
      </c>
      <c r="J515" s="407">
        <v>50.040775930324621</v>
      </c>
      <c r="K515" s="407">
        <v>50.089494163424128</v>
      </c>
      <c r="L515" s="407">
        <v>50.067014147431124</v>
      </c>
      <c r="M515" s="407">
        <v>49.99609069585614</v>
      </c>
      <c r="N515" s="407">
        <v>50.059778504908131</v>
      </c>
    </row>
    <row r="516" spans="1:14" ht="14.5">
      <c r="A516" s="471">
        <v>2025</v>
      </c>
      <c r="B516" s="577" t="s">
        <v>105</v>
      </c>
      <c r="C516" s="403">
        <v>50</v>
      </c>
      <c r="D516" s="403">
        <v>49.809280544912731</v>
      </c>
      <c r="E516" s="403">
        <v>50.158176100628928</v>
      </c>
      <c r="F516" s="403">
        <v>50.02736634222034</v>
      </c>
      <c r="G516" s="403">
        <v>50.327693004985647</v>
      </c>
      <c r="H516" s="403">
        <v>49.274143302180683</v>
      </c>
      <c r="I516" s="403">
        <v>50.148677626876342</v>
      </c>
      <c r="J516" s="403">
        <v>50.484448231785258</v>
      </c>
      <c r="K516" s="403">
        <v>50.291005291005291</v>
      </c>
      <c r="L516" s="403">
        <v>50.177306797622123</v>
      </c>
      <c r="M516" s="403">
        <v>50.480111653872996</v>
      </c>
      <c r="N516" s="403">
        <v>50.255647883666583</v>
      </c>
    </row>
    <row r="517" spans="1:14" ht="14.5">
      <c r="A517" s="472"/>
      <c r="B517" s="578" t="s">
        <v>106</v>
      </c>
      <c r="C517" s="405">
        <v>50</v>
      </c>
      <c r="D517" s="405">
        <v>49.601200446677836</v>
      </c>
      <c r="E517" s="405">
        <v>50.162365591397851</v>
      </c>
      <c r="F517" s="405">
        <v>50.072064276885044</v>
      </c>
      <c r="G517" s="405">
        <v>50.342430149447694</v>
      </c>
      <c r="H517" s="405">
        <v>49.508474576271183</v>
      </c>
      <c r="I517" s="405">
        <v>50.230586370839937</v>
      </c>
      <c r="J517" s="405">
        <v>50.074821852731588</v>
      </c>
      <c r="K517" s="405">
        <v>49.99404761904762</v>
      </c>
      <c r="L517" s="405">
        <v>50.094641962944415</v>
      </c>
      <c r="M517" s="405">
        <v>50.041023842917248</v>
      </c>
      <c r="N517" s="405">
        <v>50.378343399482311</v>
      </c>
    </row>
    <row r="518" spans="1:14" ht="14.5">
      <c r="A518" s="472"/>
      <c r="B518" s="578" t="s">
        <v>107</v>
      </c>
      <c r="C518" s="405">
        <v>50</v>
      </c>
      <c r="D518" s="405">
        <v>49.7459631034042</v>
      </c>
      <c r="E518" s="405">
        <v>50.250145772594749</v>
      </c>
      <c r="F518" s="405">
        <v>50.264520095129186</v>
      </c>
      <c r="G518" s="405">
        <v>50.19168475538487</v>
      </c>
      <c r="H518" s="405">
        <v>49.546506453048508</v>
      </c>
      <c r="I518" s="405">
        <v>50</v>
      </c>
      <c r="J518" s="405">
        <v>49.978354062250546</v>
      </c>
      <c r="K518" s="405">
        <v>50.215840897898133</v>
      </c>
      <c r="L518" s="405">
        <v>49.853697238971755</v>
      </c>
      <c r="M518" s="405">
        <v>49.986306404566939</v>
      </c>
      <c r="N518" s="405">
        <v>50.116243158172431</v>
      </c>
    </row>
    <row r="519" spans="1:14" ht="14.5">
      <c r="A519" s="472"/>
      <c r="B519" s="578" t="s">
        <v>108</v>
      </c>
      <c r="C519" s="405">
        <v>50</v>
      </c>
      <c r="D519" s="405">
        <v>49.78322725570947</v>
      </c>
      <c r="E519" s="405">
        <v>49.806074115352466</v>
      </c>
      <c r="F519" s="405">
        <v>50.283204972301043</v>
      </c>
      <c r="G519" s="405">
        <v>49.98800355450237</v>
      </c>
      <c r="H519" s="405">
        <v>50.514928123848136</v>
      </c>
      <c r="I519" s="405">
        <v>50.390056022408963</v>
      </c>
      <c r="J519" s="405">
        <v>50.192501398992725</v>
      </c>
      <c r="K519" s="405">
        <v>50.337423312883438</v>
      </c>
      <c r="L519" s="405">
        <v>50.079862812346889</v>
      </c>
      <c r="M519" s="405">
        <v>50.494933117146331</v>
      </c>
      <c r="N519" s="405">
        <v>50.095406360424029</v>
      </c>
    </row>
    <row r="520" spans="1:14" ht="14.5">
      <c r="A520" s="472"/>
      <c r="B520" s="578" t="s">
        <v>109</v>
      </c>
      <c r="C520" s="405">
        <v>50</v>
      </c>
      <c r="D520" s="405">
        <v>50.139410537297863</v>
      </c>
      <c r="E520" s="405">
        <v>49.845759049162616</v>
      </c>
      <c r="F520" s="405">
        <v>50.269617706237426</v>
      </c>
      <c r="G520" s="405">
        <v>50.050217477263743</v>
      </c>
      <c r="H520" s="405">
        <v>50.466463414634148</v>
      </c>
      <c r="I520" s="405">
        <v>50.057013574660637</v>
      </c>
      <c r="J520" s="405">
        <v>50.074060290286567</v>
      </c>
      <c r="K520" s="405">
        <v>50.20063694267516</v>
      </c>
      <c r="L520" s="405">
        <v>50.112939984806282</v>
      </c>
      <c r="M520" s="405">
        <v>50.17082294264339</v>
      </c>
      <c r="N520" s="405">
        <v>49.988004750593824</v>
      </c>
    </row>
    <row r="521" spans="1:14" ht="14.5">
      <c r="A521" s="472"/>
      <c r="B521" s="578" t="s">
        <v>110</v>
      </c>
      <c r="C521" s="702">
        <v>50</v>
      </c>
      <c r="D521" s="710">
        <v>49.7</v>
      </c>
      <c r="E521" s="710">
        <v>50.2</v>
      </c>
      <c r="F521" s="710">
        <v>50.1</v>
      </c>
      <c r="G521" s="710">
        <v>50.3</v>
      </c>
      <c r="H521" s="710">
        <v>50.5</v>
      </c>
      <c r="I521" s="710">
        <v>50.1</v>
      </c>
      <c r="J521" s="710">
        <v>50.3</v>
      </c>
      <c r="K521" s="710">
        <v>50.1</v>
      </c>
      <c r="L521" s="710">
        <v>50.1</v>
      </c>
      <c r="M521" s="710">
        <v>50</v>
      </c>
      <c r="N521" s="710">
        <v>50.6</v>
      </c>
    </row>
    <row r="522" spans="1:14" ht="14.5">
      <c r="A522" s="472"/>
      <c r="B522" s="578" t="s">
        <v>117</v>
      </c>
      <c r="C522" s="702">
        <v>50</v>
      </c>
      <c r="D522" s="710">
        <v>49.087724137930998</v>
      </c>
      <c r="E522" s="710">
        <v>50.030373831775698</v>
      </c>
      <c r="F522" s="710">
        <v>50.031801098583401</v>
      </c>
      <c r="G522" s="710">
        <v>50.0276107771098</v>
      </c>
      <c r="H522" s="710">
        <v>50.7406576980568</v>
      </c>
      <c r="I522" s="710">
        <v>50.009442060085803</v>
      </c>
      <c r="J522" s="710">
        <v>50.171140939597301</v>
      </c>
      <c r="K522" s="710">
        <v>50.1490683229814</v>
      </c>
      <c r="L522" s="710">
        <v>50.475978647686802</v>
      </c>
      <c r="M522" s="710">
        <v>50.029523088569299</v>
      </c>
      <c r="N522" s="710">
        <v>50.442040816326497</v>
      </c>
    </row>
    <row r="523" spans="1:14" ht="14.5">
      <c r="A523" s="473"/>
      <c r="B523" s="576" t="s">
        <v>112</v>
      </c>
      <c r="C523" s="696">
        <v>50</v>
      </c>
      <c r="D523" s="711">
        <v>50.435728048444801</v>
      </c>
      <c r="E523" s="711">
        <v>50.2828628457371</v>
      </c>
      <c r="F523" s="711">
        <v>50.245384833853997</v>
      </c>
      <c r="G523" s="711">
        <v>49.880341880341902</v>
      </c>
      <c r="H523" s="711">
        <v>50.741985322518303</v>
      </c>
      <c r="I523" s="711">
        <v>50.1465863453815</v>
      </c>
      <c r="J523" s="711">
        <v>50.164794007490599</v>
      </c>
      <c r="K523" s="711">
        <v>50.176991150442497</v>
      </c>
      <c r="L523" s="711">
        <v>50.271071953010299</v>
      </c>
      <c r="M523" s="711">
        <v>50.071513706793802</v>
      </c>
      <c r="N523" s="711">
        <v>50.257347456362801</v>
      </c>
    </row>
    <row r="525" spans="1:14" ht="14.5">
      <c r="A525" s="869" t="s">
        <v>356</v>
      </c>
      <c r="B525" s="869"/>
      <c r="C525" s="869"/>
      <c r="D525" s="869"/>
      <c r="E525" s="869"/>
      <c r="F525" s="869"/>
      <c r="G525" s="869"/>
      <c r="H525" s="869"/>
      <c r="I525" s="869"/>
      <c r="J525" s="869"/>
      <c r="K525" s="869"/>
      <c r="L525" s="869"/>
      <c r="M525" s="869"/>
      <c r="N525" s="869"/>
    </row>
    <row r="526" spans="1:14" ht="17.5" customHeight="1">
      <c r="A526" s="735" t="s">
        <v>98</v>
      </c>
      <c r="B526" s="739"/>
      <c r="C526" s="743" t="s">
        <v>324</v>
      </c>
      <c r="D526" s="864" t="s">
        <v>338</v>
      </c>
      <c r="E526" s="865"/>
      <c r="F526" s="865"/>
      <c r="G526" s="865"/>
      <c r="H526" s="865"/>
      <c r="I526" s="865"/>
      <c r="J526" s="865"/>
      <c r="K526" s="865"/>
      <c r="L526" s="865"/>
      <c r="M526" s="865"/>
      <c r="N526" s="866"/>
    </row>
    <row r="527" spans="1:14" ht="67" customHeight="1">
      <c r="A527" s="740"/>
      <c r="B527" s="741"/>
      <c r="C527" s="745"/>
      <c r="D527" s="556" t="s">
        <v>339</v>
      </c>
      <c r="E527" s="556" t="s">
        <v>215</v>
      </c>
      <c r="F527" s="556" t="s">
        <v>340</v>
      </c>
      <c r="G527" s="556" t="s">
        <v>341</v>
      </c>
      <c r="H527" s="556" t="s">
        <v>342</v>
      </c>
      <c r="I527" s="556" t="s">
        <v>343</v>
      </c>
      <c r="J527" s="557" t="s">
        <v>344</v>
      </c>
      <c r="K527" s="557" t="s">
        <v>345</v>
      </c>
      <c r="L527" s="557" t="s">
        <v>346</v>
      </c>
      <c r="M527" s="478" t="s">
        <v>347</v>
      </c>
      <c r="N527" s="478" t="s">
        <v>348</v>
      </c>
    </row>
    <row r="528" spans="1:14" ht="14.5">
      <c r="A528" s="471">
        <v>2020</v>
      </c>
      <c r="B528" s="558" t="s">
        <v>112</v>
      </c>
      <c r="C528" s="402">
        <v>50</v>
      </c>
      <c r="D528" s="403">
        <v>50.248403122782115</v>
      </c>
      <c r="E528" s="403">
        <v>50.195443218227126</v>
      </c>
      <c r="F528" s="403">
        <v>50.424362089914943</v>
      </c>
      <c r="G528" s="403">
        <v>50.108287292817678</v>
      </c>
      <c r="H528" s="403">
        <v>50.064808813998702</v>
      </c>
      <c r="I528" s="403">
        <v>50.210476190476193</v>
      </c>
      <c r="J528" s="403">
        <v>50</v>
      </c>
      <c r="K528" s="403">
        <v>50.569157392686805</v>
      </c>
      <c r="L528" s="402">
        <v>50.44307492701914</v>
      </c>
      <c r="M528" s="403">
        <v>49.96102236421725</v>
      </c>
      <c r="N528" s="403">
        <v>50.565273311897108</v>
      </c>
    </row>
    <row r="529" spans="1:14">
      <c r="A529" s="449"/>
      <c r="B529" s="559" t="s">
        <v>113</v>
      </c>
      <c r="C529" s="404">
        <v>50</v>
      </c>
      <c r="D529" s="405">
        <v>49.868357998590554</v>
      </c>
      <c r="E529" s="405">
        <v>50.107898448519038</v>
      </c>
      <c r="F529" s="405">
        <v>50.278474723636812</v>
      </c>
      <c r="G529" s="405">
        <v>50.271935381691478</v>
      </c>
      <c r="H529" s="405">
        <v>50.049501767920283</v>
      </c>
      <c r="I529" s="405">
        <v>50.443207126948778</v>
      </c>
      <c r="J529" s="405">
        <v>50.148622429181216</v>
      </c>
      <c r="K529" s="405">
        <v>49.965299684542586</v>
      </c>
      <c r="L529" s="404">
        <v>50.204054649625384</v>
      </c>
      <c r="M529" s="405">
        <v>50.006796941376379</v>
      </c>
      <c r="N529" s="405">
        <v>50.249010477299187</v>
      </c>
    </row>
    <row r="530" spans="1:14">
      <c r="A530" s="449"/>
      <c r="B530" s="559" t="s">
        <v>114</v>
      </c>
      <c r="C530" s="404">
        <v>50</v>
      </c>
      <c r="D530" s="405">
        <v>49.975464083938661</v>
      </c>
      <c r="E530" s="405">
        <v>50.236402966625462</v>
      </c>
      <c r="F530" s="405">
        <v>50.352151598894594</v>
      </c>
      <c r="G530" s="405">
        <v>50.205295735900961</v>
      </c>
      <c r="H530" s="405">
        <v>50.037272645820266</v>
      </c>
      <c r="I530" s="405">
        <v>50.122340425531917</v>
      </c>
      <c r="J530" s="405">
        <v>50.065192083818395</v>
      </c>
      <c r="K530" s="405">
        <v>50.011041009463725</v>
      </c>
      <c r="L530" s="404">
        <v>50.276090225563912</v>
      </c>
      <c r="M530" s="405">
        <v>50.153697749196141</v>
      </c>
      <c r="N530" s="405">
        <v>50.421825699053421</v>
      </c>
    </row>
    <row r="531" spans="1:14">
      <c r="A531" s="449"/>
      <c r="B531" s="559" t="s">
        <v>115</v>
      </c>
      <c r="C531" s="404">
        <v>50</v>
      </c>
      <c r="D531" s="405">
        <v>50.005491881566378</v>
      </c>
      <c r="E531" s="405">
        <v>50.297140968434967</v>
      </c>
      <c r="F531" s="405">
        <v>50.34163482532751</v>
      </c>
      <c r="G531" s="405">
        <v>50.232403718459494</v>
      </c>
      <c r="H531" s="405">
        <v>50.060885351207929</v>
      </c>
      <c r="I531" s="405">
        <v>50.348357203032855</v>
      </c>
      <c r="J531" s="405">
        <v>50.032596041909194</v>
      </c>
      <c r="K531" s="405">
        <v>50.374274661508707</v>
      </c>
      <c r="L531" s="404">
        <v>50.471985919624522</v>
      </c>
      <c r="M531" s="405">
        <v>50.225336927223722</v>
      </c>
      <c r="N531" s="405">
        <v>50.265015623191758</v>
      </c>
    </row>
    <row r="532" spans="1:14">
      <c r="A532" s="449"/>
      <c r="B532" s="560" t="s">
        <v>116</v>
      </c>
      <c r="C532" s="406">
        <v>50</v>
      </c>
      <c r="D532" s="407">
        <v>49.579765437332206</v>
      </c>
      <c r="E532" s="407">
        <v>50.177257525083611</v>
      </c>
      <c r="F532" s="407">
        <v>50.621344421344418</v>
      </c>
      <c r="G532" s="407">
        <v>50.303778184034122</v>
      </c>
      <c r="H532" s="407">
        <v>50.120334844785489</v>
      </c>
      <c r="I532" s="407">
        <v>50.322338830584705</v>
      </c>
      <c r="J532" s="407">
        <v>50.152502910360887</v>
      </c>
      <c r="K532" s="407">
        <v>50.119741100323623</v>
      </c>
      <c r="L532" s="406">
        <v>49.907282282282281</v>
      </c>
      <c r="M532" s="407">
        <v>49.816249050873196</v>
      </c>
      <c r="N532" s="407">
        <v>50.188691396187529</v>
      </c>
    </row>
    <row r="533" spans="1:14" ht="14.5">
      <c r="A533" s="471">
        <v>2021</v>
      </c>
      <c r="B533" s="559" t="s">
        <v>105</v>
      </c>
      <c r="C533" s="404">
        <v>50</v>
      </c>
      <c r="D533" s="405">
        <v>50.043497172683779</v>
      </c>
      <c r="E533" s="405">
        <v>50.143728222996515</v>
      </c>
      <c r="F533" s="405">
        <v>50.441142020497807</v>
      </c>
      <c r="G533" s="405">
        <v>50.197615772581386</v>
      </c>
      <c r="H533" s="405">
        <v>50.203499909796136</v>
      </c>
      <c r="I533" s="405">
        <v>50.450612833453498</v>
      </c>
      <c r="J533" s="405">
        <v>50.08159934720522</v>
      </c>
      <c r="K533" s="405">
        <v>50.138041733547354</v>
      </c>
      <c r="L533" s="404">
        <v>50.043156596794084</v>
      </c>
      <c r="M533" s="403">
        <v>50.208272859216258</v>
      </c>
      <c r="N533" s="403">
        <v>50.387043870438703</v>
      </c>
    </row>
    <row r="534" spans="1:14">
      <c r="A534" s="449"/>
      <c r="B534" s="559" t="s">
        <v>106</v>
      </c>
      <c r="C534" s="404">
        <v>50</v>
      </c>
      <c r="D534" s="405">
        <v>50.044524398470877</v>
      </c>
      <c r="E534" s="405">
        <v>50.121458923512748</v>
      </c>
      <c r="F534" s="405">
        <v>50.42982842058953</v>
      </c>
      <c r="G534" s="405">
        <v>50.154225786551514</v>
      </c>
      <c r="H534" s="405">
        <v>50.075826312378481</v>
      </c>
      <c r="I534" s="405">
        <v>50.45669291338583</v>
      </c>
      <c r="J534" s="405">
        <v>50.512035903712771</v>
      </c>
      <c r="K534" s="405">
        <v>50.177644710578839</v>
      </c>
      <c r="L534" s="404">
        <v>50.293286219081274</v>
      </c>
      <c r="M534" s="405">
        <v>50.100574712643677</v>
      </c>
      <c r="N534" s="405">
        <v>50.139175257731956</v>
      </c>
    </row>
    <row r="535" spans="1:14">
      <c r="A535" s="449"/>
      <c r="B535" s="559" t="s">
        <v>107</v>
      </c>
      <c r="C535" s="404">
        <v>50</v>
      </c>
      <c r="D535" s="405">
        <v>50.202531645569621</v>
      </c>
      <c r="E535" s="405">
        <v>50.276753960556093</v>
      </c>
      <c r="F535" s="405">
        <v>50.175278332857552</v>
      </c>
      <c r="G535" s="405">
        <v>50.394181302111051</v>
      </c>
      <c r="H535" s="405">
        <v>49.991400931565749</v>
      </c>
      <c r="I535" s="405">
        <v>50.71057513914657</v>
      </c>
      <c r="J535" s="405">
        <v>50.47729918509895</v>
      </c>
      <c r="K535" s="405">
        <v>50.024077046548953</v>
      </c>
      <c r="L535" s="404">
        <v>50.284387895460796</v>
      </c>
      <c r="M535" s="405">
        <v>50.374107142857142</v>
      </c>
      <c r="N535" s="405">
        <v>50.088372680217141</v>
      </c>
    </row>
    <row r="536" spans="1:14">
      <c r="A536" s="449"/>
      <c r="B536" s="559" t="s">
        <v>108</v>
      </c>
      <c r="C536" s="404">
        <v>50</v>
      </c>
      <c r="D536" s="405">
        <v>49.999853907962013</v>
      </c>
      <c r="E536" s="405">
        <v>50.260631001371742</v>
      </c>
      <c r="F536" s="405">
        <v>50.138725154215216</v>
      </c>
      <c r="G536" s="405">
        <v>50.236147990794834</v>
      </c>
      <c r="H536" s="405">
        <v>50.087047353760447</v>
      </c>
      <c r="I536" s="405">
        <v>50.762071992976296</v>
      </c>
      <c r="J536" s="405">
        <v>50.112260734609414</v>
      </c>
      <c r="K536" s="405">
        <v>49.615511551155116</v>
      </c>
      <c r="L536" s="404">
        <v>50.223631302196104</v>
      </c>
      <c r="M536" s="405">
        <v>49.708367181153534</v>
      </c>
      <c r="N536" s="405">
        <v>50.34455061625814</v>
      </c>
    </row>
    <row r="537" spans="1:14">
      <c r="A537" s="449"/>
      <c r="B537" s="559" t="s">
        <v>109</v>
      </c>
      <c r="C537" s="404">
        <v>50</v>
      </c>
      <c r="D537" s="405">
        <v>50.225019186492709</v>
      </c>
      <c r="E537" s="405">
        <v>50.199313893653517</v>
      </c>
      <c r="F537" s="405">
        <v>50.299921177088805</v>
      </c>
      <c r="G537" s="405">
        <v>50.067520846044339</v>
      </c>
      <c r="H537" s="405">
        <v>49.982892690513218</v>
      </c>
      <c r="I537" s="405">
        <v>50.400430570505918</v>
      </c>
      <c r="J537" s="405">
        <v>50.108935128518972</v>
      </c>
      <c r="K537" s="405">
        <v>50.147435897435898</v>
      </c>
      <c r="L537" s="404">
        <v>49.683208955223883</v>
      </c>
      <c r="M537" s="405">
        <v>50.693708609271525</v>
      </c>
      <c r="N537" s="405">
        <v>50.236717827626919</v>
      </c>
    </row>
    <row r="538" spans="1:14">
      <c r="A538" s="449"/>
      <c r="B538" s="559" t="s">
        <v>110</v>
      </c>
      <c r="C538" s="404">
        <v>50</v>
      </c>
      <c r="D538" s="405">
        <v>50.191950464396285</v>
      </c>
      <c r="E538" s="405">
        <v>50.115921288014313</v>
      </c>
      <c r="F538" s="405">
        <v>50.291766699618698</v>
      </c>
      <c r="G538" s="405">
        <v>50.114594594594593</v>
      </c>
      <c r="H538" s="405">
        <v>50.103937566512947</v>
      </c>
      <c r="I538" s="405">
        <v>50.605076142131978</v>
      </c>
      <c r="J538" s="405">
        <v>50.16034271725826</v>
      </c>
      <c r="K538" s="405">
        <v>50.011419249592173</v>
      </c>
      <c r="L538" s="404">
        <v>50.106284268241247</v>
      </c>
      <c r="M538" s="405">
        <v>50.353076923076927</v>
      </c>
      <c r="N538" s="405">
        <v>50.212316900299257</v>
      </c>
    </row>
    <row r="539" spans="1:14">
      <c r="A539" s="449"/>
      <c r="B539" s="559" t="s">
        <v>117</v>
      </c>
      <c r="C539" s="404">
        <v>50</v>
      </c>
      <c r="D539" s="405">
        <v>50.088673037756543</v>
      </c>
      <c r="E539" s="405">
        <v>50.118541033434653</v>
      </c>
      <c r="F539" s="405">
        <v>50.140508641281436</v>
      </c>
      <c r="G539" s="405">
        <v>50.206634270019016</v>
      </c>
      <c r="H539" s="405">
        <v>50.019410745233969</v>
      </c>
      <c r="I539" s="405">
        <v>50.632523759239703</v>
      </c>
      <c r="J539" s="405">
        <v>50.170134638922889</v>
      </c>
      <c r="K539" s="405">
        <v>50.133971291866025</v>
      </c>
      <c r="L539" s="404">
        <v>50.03233830845771</v>
      </c>
      <c r="M539" s="405">
        <v>49.615643397813287</v>
      </c>
      <c r="N539" s="405">
        <v>50.233161307397118</v>
      </c>
    </row>
    <row r="540" spans="1:14">
      <c r="A540" s="449"/>
      <c r="B540" s="559" t="s">
        <v>112</v>
      </c>
      <c r="C540" s="404">
        <v>50</v>
      </c>
      <c r="D540" s="405">
        <v>50.018167761886353</v>
      </c>
      <c r="E540" s="405">
        <v>50.058994599085999</v>
      </c>
      <c r="F540" s="405">
        <v>50.185458920591266</v>
      </c>
      <c r="G540" s="405">
        <v>50.30671712393567</v>
      </c>
      <c r="H540" s="405">
        <v>50.059829059829063</v>
      </c>
      <c r="I540" s="405">
        <v>50.602956705385431</v>
      </c>
      <c r="J540" s="405">
        <v>50.544535691724576</v>
      </c>
      <c r="K540" s="405">
        <v>49.434925864909388</v>
      </c>
      <c r="L540" s="404">
        <v>49.864983164983165</v>
      </c>
      <c r="M540" s="405">
        <v>50.046082949308754</v>
      </c>
      <c r="N540" s="405">
        <v>50.182932041601369</v>
      </c>
    </row>
    <row r="541" spans="1:14">
      <c r="A541" s="449"/>
      <c r="B541" s="559" t="s">
        <v>113</v>
      </c>
      <c r="C541" s="404">
        <v>50</v>
      </c>
      <c r="D541" s="405">
        <v>50.045907319185794</v>
      </c>
      <c r="E541" s="405">
        <v>50.115289109613336</v>
      </c>
      <c r="F541" s="405">
        <v>50.061238813826989</v>
      </c>
      <c r="G541" s="405">
        <v>50.18879153579104</v>
      </c>
      <c r="H541" s="405">
        <v>50.755128205128202</v>
      </c>
      <c r="I541" s="405">
        <v>50.218390804597703</v>
      </c>
      <c r="J541" s="405">
        <v>49.540661805945035</v>
      </c>
      <c r="K541" s="405">
        <v>50.138842975206614</v>
      </c>
      <c r="L541" s="404">
        <v>50.023265651438237</v>
      </c>
      <c r="M541" s="405">
        <v>49.651515151515149</v>
      </c>
      <c r="N541" s="405">
        <v>50.261759048784754</v>
      </c>
    </row>
    <row r="542" spans="1:14">
      <c r="A542" s="449"/>
      <c r="B542" s="559" t="s">
        <v>114</v>
      </c>
      <c r="C542" s="404">
        <v>50</v>
      </c>
      <c r="D542" s="405">
        <v>49.999168283892431</v>
      </c>
      <c r="E542" s="405">
        <v>50.277962716378163</v>
      </c>
      <c r="F542" s="405">
        <v>50.145031712473575</v>
      </c>
      <c r="G542" s="405">
        <v>50.382907133243606</v>
      </c>
      <c r="H542" s="405">
        <v>50.086071987480437</v>
      </c>
      <c r="I542" s="405">
        <v>50.237859266600594</v>
      </c>
      <c r="J542" s="405">
        <v>50.156962025316453</v>
      </c>
      <c r="K542" s="405">
        <v>49.984014209591471</v>
      </c>
      <c r="L542" s="404">
        <v>50.11416781292985</v>
      </c>
      <c r="M542" s="405">
        <v>49.913793103448278</v>
      </c>
      <c r="N542" s="405">
        <v>50.113141585889082</v>
      </c>
    </row>
    <row r="543" spans="1:14">
      <c r="A543" s="449"/>
      <c r="B543" s="559" t="s">
        <v>115</v>
      </c>
      <c r="C543" s="404">
        <v>50</v>
      </c>
      <c r="D543" s="405">
        <v>50.450576822233877</v>
      </c>
      <c r="E543" s="405">
        <v>50.362215426435611</v>
      </c>
      <c r="F543" s="405">
        <v>50.028331043956044</v>
      </c>
      <c r="G543" s="405">
        <v>50.090112031173895</v>
      </c>
      <c r="H543" s="405">
        <v>50.086071987480437</v>
      </c>
      <c r="I543" s="405">
        <v>50.419768934531447</v>
      </c>
      <c r="J543" s="405">
        <v>50.094303797468356</v>
      </c>
      <c r="K543" s="405">
        <v>50.126436781609193</v>
      </c>
      <c r="L543" s="404">
        <v>50.670745272525025</v>
      </c>
      <c r="M543" s="405">
        <v>50.505319148936167</v>
      </c>
      <c r="N543" s="405">
        <v>50.280655655655657</v>
      </c>
    </row>
    <row r="544" spans="1:14">
      <c r="A544" s="451"/>
      <c r="B544" s="560" t="s">
        <v>116</v>
      </c>
      <c r="C544" s="406">
        <v>50</v>
      </c>
      <c r="D544" s="407">
        <v>50.195249282171758</v>
      </c>
      <c r="E544" s="407">
        <v>50.261593729588505</v>
      </c>
      <c r="F544" s="407">
        <v>50.238236483753539</v>
      </c>
      <c r="G544" s="407">
        <v>50.395150931278096</v>
      </c>
      <c r="H544" s="407">
        <v>49.981412639405207</v>
      </c>
      <c r="I544" s="407">
        <v>50.468440594059409</v>
      </c>
      <c r="J544" s="407">
        <v>49.990762124711317</v>
      </c>
      <c r="K544" s="407">
        <v>50.024054982817873</v>
      </c>
      <c r="L544" s="407">
        <v>49.897315855181027</v>
      </c>
      <c r="M544" s="407">
        <v>50.108407079646021</v>
      </c>
      <c r="N544" s="407">
        <v>50.414107631498936</v>
      </c>
    </row>
    <row r="545" spans="1:14" ht="14.5">
      <c r="A545" s="471">
        <v>2022</v>
      </c>
      <c r="B545" s="577" t="s">
        <v>105</v>
      </c>
      <c r="C545" s="403">
        <v>50</v>
      </c>
      <c r="D545" s="403">
        <v>50.258246371596499</v>
      </c>
      <c r="E545" s="403">
        <v>50.207973817316272</v>
      </c>
      <c r="F545" s="403">
        <v>50.522038746586922</v>
      </c>
      <c r="G545" s="403">
        <v>50.315391879131255</v>
      </c>
      <c r="H545" s="403">
        <v>50.11919191919192</v>
      </c>
      <c r="I545" s="403">
        <v>50.534921939194739</v>
      </c>
      <c r="J545" s="403">
        <v>50.057384341637011</v>
      </c>
      <c r="K545" s="403">
        <v>50.050406504065037</v>
      </c>
      <c r="L545" s="403">
        <v>50.267986798679871</v>
      </c>
      <c r="M545" s="403">
        <v>49.959225984796127</v>
      </c>
      <c r="N545" s="403">
        <v>50.305888416441178</v>
      </c>
    </row>
    <row r="546" spans="1:14" ht="14.5">
      <c r="A546" s="472"/>
      <c r="B546" s="578" t="s">
        <v>106</v>
      </c>
      <c r="C546" s="405">
        <v>50</v>
      </c>
      <c r="D546" s="405">
        <v>50.258603974793992</v>
      </c>
      <c r="E546" s="405">
        <v>50.390199637023592</v>
      </c>
      <c r="F546" s="405">
        <v>50.442089132933212</v>
      </c>
      <c r="G546" s="405">
        <v>50.217607973421927</v>
      </c>
      <c r="H546" s="405">
        <v>50.159426066161821</v>
      </c>
      <c r="I546" s="405">
        <v>50.472303206997083</v>
      </c>
      <c r="J546" s="405">
        <v>50.092526690391459</v>
      </c>
      <c r="K546" s="405">
        <v>50.556634304207122</v>
      </c>
      <c r="L546" s="405">
        <v>50.049802371541503</v>
      </c>
      <c r="M546" s="405">
        <v>50.142506142506143</v>
      </c>
      <c r="N546" s="405">
        <v>50.443192007173053</v>
      </c>
    </row>
    <row r="547" spans="1:14" ht="14.5">
      <c r="A547" s="472"/>
      <c r="B547" s="578" t="s">
        <v>107</v>
      </c>
      <c r="C547" s="405">
        <v>50</v>
      </c>
      <c r="D547" s="405">
        <v>50.140188517566401</v>
      </c>
      <c r="E547" s="405">
        <v>50.184073860357763</v>
      </c>
      <c r="F547" s="405">
        <v>50.485965145669816</v>
      </c>
      <c r="G547" s="405">
        <v>50.428082749633489</v>
      </c>
      <c r="H547" s="405">
        <v>50.733333333333334</v>
      </c>
      <c r="I547" s="405">
        <v>50.347597597597598</v>
      </c>
      <c r="J547" s="405">
        <v>50.264234875444842</v>
      </c>
      <c r="K547" s="405">
        <v>49.7</v>
      </c>
      <c r="L547" s="405">
        <v>50.217613789388636</v>
      </c>
      <c r="M547" s="405">
        <v>50.194848824188128</v>
      </c>
      <c r="N547" s="405">
        <v>50.4407622034648</v>
      </c>
    </row>
    <row r="548" spans="1:14" ht="14.5">
      <c r="A548" s="472"/>
      <c r="B548" s="578" t="s">
        <v>108</v>
      </c>
      <c r="C548" s="405">
        <v>50</v>
      </c>
      <c r="D548" s="405">
        <v>49.970892137096776</v>
      </c>
      <c r="E548" s="405">
        <v>50.175888603884204</v>
      </c>
      <c r="F548" s="405">
        <v>50.347655226617761</v>
      </c>
      <c r="G548" s="405">
        <v>49.919017034347945</v>
      </c>
      <c r="H548" s="405">
        <v>50.724807621839503</v>
      </c>
      <c r="I548" s="405">
        <v>50.399416909620989</v>
      </c>
      <c r="J548" s="405">
        <v>50.052935943060497</v>
      </c>
      <c r="K548" s="405">
        <v>50.101374570446737</v>
      </c>
      <c r="L548" s="405">
        <v>50.403661185231151</v>
      </c>
      <c r="M548" s="405">
        <v>49.929245283018865</v>
      </c>
      <c r="N548" s="405">
        <v>49.809087495338296</v>
      </c>
    </row>
    <row r="549" spans="1:14" ht="14.5">
      <c r="A549" s="472"/>
      <c r="B549" s="578" t="s">
        <v>109</v>
      </c>
      <c r="C549" s="405">
        <v>50</v>
      </c>
      <c r="D549" s="405">
        <v>50.197967026155943</v>
      </c>
      <c r="E549" s="405">
        <v>50.286023500309213</v>
      </c>
      <c r="F549" s="405">
        <v>50.219366331594351</v>
      </c>
      <c r="G549" s="405">
        <v>50.082384661473938</v>
      </c>
      <c r="H549" s="405">
        <v>49.976370510396976</v>
      </c>
      <c r="I549" s="405">
        <v>50.5</v>
      </c>
      <c r="J549" s="405">
        <v>50.455960854092524</v>
      </c>
      <c r="K549" s="405">
        <v>50.06467661691542</v>
      </c>
      <c r="L549" s="405">
        <v>50.211390728476822</v>
      </c>
      <c r="M549" s="405">
        <v>50.376451077943614</v>
      </c>
      <c r="N549" s="405">
        <v>50.514958956497004</v>
      </c>
    </row>
    <row r="550" spans="1:14" ht="14.5">
      <c r="A550" s="472"/>
      <c r="B550" s="578" t="s">
        <v>110</v>
      </c>
      <c r="C550" s="405">
        <v>50</v>
      </c>
      <c r="D550" s="405">
        <v>50.220970873786406</v>
      </c>
      <c r="E550" s="405">
        <v>50.290748898678416</v>
      </c>
      <c r="F550" s="405">
        <v>50.562833884507761</v>
      </c>
      <c r="G550" s="405">
        <v>50.070380650277556</v>
      </c>
      <c r="H550" s="405">
        <v>50.74006359300477</v>
      </c>
      <c r="I550" s="405">
        <v>50.297197640117993</v>
      </c>
      <c r="J550" s="405">
        <v>50.764679715302492</v>
      </c>
      <c r="K550" s="405">
        <v>50.092402464065707</v>
      </c>
      <c r="L550" s="405">
        <v>50.374833997343956</v>
      </c>
      <c r="M550" s="405">
        <v>50.43051771117166</v>
      </c>
      <c r="N550" s="405">
        <v>50.370228134749233</v>
      </c>
    </row>
    <row r="551" spans="1:14" ht="14.5">
      <c r="A551" s="472"/>
      <c r="B551" s="578" t="s">
        <v>117</v>
      </c>
      <c r="C551" s="405">
        <v>50</v>
      </c>
      <c r="D551" s="405">
        <v>50.024949596774192</v>
      </c>
      <c r="E551" s="405">
        <v>50.289164283444549</v>
      </c>
      <c r="F551" s="405">
        <v>50.379405767550246</v>
      </c>
      <c r="G551" s="405">
        <v>50.174659182036891</v>
      </c>
      <c r="H551" s="405">
        <v>50.742602495543672</v>
      </c>
      <c r="I551" s="405">
        <v>50.359574468085107</v>
      </c>
      <c r="J551" s="405">
        <v>50.151603498542272</v>
      </c>
      <c r="K551" s="405">
        <v>50.062761506276154</v>
      </c>
      <c r="L551" s="405">
        <v>49.856423841059602</v>
      </c>
      <c r="M551" s="405">
        <v>49.604743083003953</v>
      </c>
      <c r="N551" s="405">
        <v>50.506033101640334</v>
      </c>
    </row>
    <row r="552" spans="1:14" ht="14.5">
      <c r="A552" s="472"/>
      <c r="B552" s="578" t="s">
        <v>112</v>
      </c>
      <c r="C552" s="405">
        <v>50</v>
      </c>
      <c r="D552" s="405">
        <v>50.256012092895425</v>
      </c>
      <c r="E552" s="405">
        <v>50.160894464139623</v>
      </c>
      <c r="F552" s="405">
        <v>50.587515299877602</v>
      </c>
      <c r="G552" s="405">
        <v>50.25354609929078</v>
      </c>
      <c r="H552" s="405">
        <v>50.05864909390445</v>
      </c>
      <c r="I552" s="405">
        <v>50.127123608670182</v>
      </c>
      <c r="J552" s="405">
        <v>50.426601423487547</v>
      </c>
      <c r="K552" s="405">
        <v>50.04</v>
      </c>
      <c r="L552" s="405">
        <v>50.457690861226027</v>
      </c>
      <c r="M552" s="405">
        <v>50.284431137724553</v>
      </c>
      <c r="N552" s="405">
        <v>50.486448570330971</v>
      </c>
    </row>
    <row r="553" spans="1:14" ht="14.5">
      <c r="A553" s="472"/>
      <c r="B553" s="578" t="s">
        <v>113</v>
      </c>
      <c r="C553" s="405">
        <v>50</v>
      </c>
      <c r="D553" s="405">
        <v>50.804347826086953</v>
      </c>
      <c r="E553" s="405">
        <v>50.249446902654867</v>
      </c>
      <c r="F553" s="405">
        <v>49.969482120838471</v>
      </c>
      <c r="G553" s="405">
        <v>50.184606481481481</v>
      </c>
      <c r="H553" s="405">
        <v>50.104300385109113</v>
      </c>
      <c r="I553" s="405">
        <v>50.515789473684208</v>
      </c>
      <c r="J553" s="405">
        <v>50.370106761565836</v>
      </c>
      <c r="K553" s="405">
        <v>50.0846286701209</v>
      </c>
      <c r="L553" s="405">
        <v>50.395378690629009</v>
      </c>
      <c r="M553" s="405">
        <v>50.203869047619051</v>
      </c>
      <c r="N553" s="405">
        <v>50.0914079497757</v>
      </c>
    </row>
    <row r="554" spans="1:14" ht="14.5">
      <c r="A554" s="472"/>
      <c r="B554" s="578" t="s">
        <v>114</v>
      </c>
      <c r="C554" s="405">
        <v>50</v>
      </c>
      <c r="D554" s="405">
        <v>50.505080385852089</v>
      </c>
      <c r="E554" s="405">
        <v>50.270850312415106</v>
      </c>
      <c r="F554" s="405">
        <v>49.827022114510754</v>
      </c>
      <c r="G554" s="405">
        <v>50.13739789964994</v>
      </c>
      <c r="H554" s="405">
        <v>50.160415003990423</v>
      </c>
      <c r="I554" s="405">
        <v>50.440774487471529</v>
      </c>
      <c r="J554" s="405">
        <v>50.090630975143405</v>
      </c>
      <c r="K554" s="405">
        <v>50.039832285115303</v>
      </c>
      <c r="L554" s="405">
        <v>50.378370511917815</v>
      </c>
      <c r="M554" s="405">
        <v>50.54635349227545</v>
      </c>
      <c r="N554" s="405">
        <v>50.227839592728721</v>
      </c>
    </row>
    <row r="555" spans="1:14" ht="14.5">
      <c r="A555" s="472"/>
      <c r="B555" s="578" t="s">
        <v>115</v>
      </c>
      <c r="C555" s="405">
        <v>50</v>
      </c>
      <c r="D555" s="405">
        <v>50.033067421513124</v>
      </c>
      <c r="E555" s="405">
        <v>50.23217982845312</v>
      </c>
      <c r="F555" s="405">
        <v>49.942088206284346</v>
      </c>
      <c r="G555" s="405">
        <v>50.28223755902652</v>
      </c>
      <c r="H555" s="405">
        <v>50.192052980132452</v>
      </c>
      <c r="I555" s="405">
        <v>50.172965116279073</v>
      </c>
      <c r="J555" s="405">
        <v>50.823282442748095</v>
      </c>
      <c r="K555" s="405">
        <v>50.012389380530976</v>
      </c>
      <c r="L555" s="405">
        <v>50.362345852622205</v>
      </c>
      <c r="M555" s="405">
        <v>49.859631696522392</v>
      </c>
      <c r="N555" s="405">
        <v>50.164160401760363</v>
      </c>
    </row>
    <row r="556" spans="1:14" ht="14.5">
      <c r="A556" s="473"/>
      <c r="B556" s="576" t="s">
        <v>116</v>
      </c>
      <c r="C556" s="407">
        <v>50</v>
      </c>
      <c r="D556" s="407">
        <v>49.967136150234744</v>
      </c>
      <c r="E556" s="407">
        <v>50.344317831844776</v>
      </c>
      <c r="F556" s="407">
        <v>50.226491228070174</v>
      </c>
      <c r="G556" s="407">
        <v>50.163491825408727</v>
      </c>
      <c r="H556" s="407">
        <v>49.962309542902965</v>
      </c>
      <c r="I556" s="407">
        <v>50.209260372820204</v>
      </c>
      <c r="J556" s="407">
        <v>50.083206106870229</v>
      </c>
      <c r="K556" s="407">
        <v>50.047038327526131</v>
      </c>
      <c r="L556" s="407">
        <v>50.302649505167736</v>
      </c>
      <c r="M556" s="407">
        <v>50.411475409836065</v>
      </c>
      <c r="N556" s="407">
        <v>50.489883086928572</v>
      </c>
    </row>
    <row r="557" spans="1:14" ht="14.5">
      <c r="A557" s="471">
        <v>2023</v>
      </c>
      <c r="B557" s="577" t="s">
        <v>105</v>
      </c>
      <c r="C557" s="403">
        <v>50</v>
      </c>
      <c r="D557" s="403">
        <v>50.006899147014551</v>
      </c>
      <c r="E557" s="403">
        <v>50.337952010814462</v>
      </c>
      <c r="F557" s="403">
        <v>50.5072596668195</v>
      </c>
      <c r="G557" s="403">
        <v>50.109653916211293</v>
      </c>
      <c r="H557" s="403">
        <v>49.375856164383563</v>
      </c>
      <c r="I557" s="403">
        <v>50.098208770846199</v>
      </c>
      <c r="J557" s="403">
        <v>50.08365310821182</v>
      </c>
      <c r="K557" s="403">
        <v>50.030821917808218</v>
      </c>
      <c r="L557" s="403">
        <v>49.856276342901189</v>
      </c>
      <c r="M557" s="403">
        <v>50.02143081796136</v>
      </c>
      <c r="N557" s="403">
        <v>49.8839709969537</v>
      </c>
    </row>
    <row r="558" spans="1:14" ht="14.5">
      <c r="A558" s="472"/>
      <c r="B558" s="578" t="s">
        <v>106</v>
      </c>
      <c r="C558" s="405">
        <v>50</v>
      </c>
      <c r="D558" s="405">
        <v>50.006960263224499</v>
      </c>
      <c r="E558" s="405">
        <v>50.100122850122851</v>
      </c>
      <c r="F558" s="405">
        <v>50.432215743440231</v>
      </c>
      <c r="G558" s="405">
        <v>50.384307585247043</v>
      </c>
      <c r="H558" s="405">
        <v>50.12970069071374</v>
      </c>
      <c r="I558" s="405">
        <v>50.057478368355994</v>
      </c>
      <c r="J558" s="405">
        <v>50.05794320798158</v>
      </c>
      <c r="K558" s="405">
        <v>50.019097222222221</v>
      </c>
      <c r="L558" s="405">
        <v>49.960630905084884</v>
      </c>
      <c r="M558" s="405">
        <v>50.173108847580593</v>
      </c>
      <c r="N558" s="405">
        <v>49.910515438398491</v>
      </c>
    </row>
    <row r="559" spans="1:14" ht="14.5">
      <c r="A559" s="472"/>
      <c r="B559" s="578" t="s">
        <v>107</v>
      </c>
      <c r="C559" s="405">
        <v>50</v>
      </c>
      <c r="D559" s="405">
        <v>50.006899147014551</v>
      </c>
      <c r="E559" s="405">
        <v>50.221009147241077</v>
      </c>
      <c r="F559" s="405">
        <v>50.258130377716199</v>
      </c>
      <c r="G559" s="405">
        <v>50.293505118249207</v>
      </c>
      <c r="H559" s="405">
        <v>50.096396005210593</v>
      </c>
      <c r="I559" s="405">
        <v>50.071470415934385</v>
      </c>
      <c r="J559" s="405">
        <v>50.43016116653876</v>
      </c>
      <c r="K559" s="405">
        <v>50.049180327868854</v>
      </c>
      <c r="L559" s="405">
        <v>50.135596142040349</v>
      </c>
      <c r="M559" s="405">
        <v>50.502458921860686</v>
      </c>
      <c r="N559" s="405">
        <v>50.194940873024471</v>
      </c>
    </row>
    <row r="560" spans="1:14" ht="14.5">
      <c r="A560" s="472"/>
      <c r="B560" s="578" t="s">
        <v>108</v>
      </c>
      <c r="C560" s="405">
        <v>50</v>
      </c>
      <c r="D560" s="405">
        <v>50.477914270778882</v>
      </c>
      <c r="E560" s="405">
        <v>50.104942450914017</v>
      </c>
      <c r="F560" s="405">
        <v>50.609014084507045</v>
      </c>
      <c r="G560" s="405">
        <v>50.211260148252734</v>
      </c>
      <c r="H560" s="405">
        <v>50.099417823555754</v>
      </c>
      <c r="I560" s="405">
        <v>50.098992294013044</v>
      </c>
      <c r="J560" s="405">
        <v>50.097467382962392</v>
      </c>
      <c r="K560" s="405">
        <v>50.003731343283583</v>
      </c>
      <c r="L560" s="405">
        <v>50.195217561740492</v>
      </c>
      <c r="M560" s="405">
        <v>49.994208190625955</v>
      </c>
      <c r="N560" s="405">
        <v>50.472746919545067</v>
      </c>
    </row>
    <row r="561" spans="1:14" ht="14.5">
      <c r="A561" s="472"/>
      <c r="B561" s="578" t="s">
        <v>109</v>
      </c>
      <c r="C561" s="405">
        <v>50</v>
      </c>
      <c r="D561" s="405">
        <v>50.533764178317064</v>
      </c>
      <c r="E561" s="405">
        <v>49.776785714285715</v>
      </c>
      <c r="F561" s="405">
        <v>50.114680050188205</v>
      </c>
      <c r="G561" s="405">
        <v>50.125812686698296</v>
      </c>
      <c r="H561" s="405">
        <v>49.856797290759552</v>
      </c>
      <c r="I561" s="405">
        <v>50.067186562687461</v>
      </c>
      <c r="J561" s="405">
        <v>50.08365310821182</v>
      </c>
      <c r="K561" s="405">
        <v>49.970749542961606</v>
      </c>
      <c r="L561" s="405">
        <v>50.244601911415678</v>
      </c>
      <c r="M561" s="405">
        <v>50.53169266547539</v>
      </c>
      <c r="N561" s="405">
        <v>50.296617627734655</v>
      </c>
    </row>
    <row r="562" spans="1:14" ht="14.5">
      <c r="A562" s="472"/>
      <c r="B562" s="578" t="s">
        <v>110</v>
      </c>
      <c r="C562" s="405">
        <v>50</v>
      </c>
      <c r="D562" s="405">
        <v>49.320899271539815</v>
      </c>
      <c r="E562" s="405">
        <v>49.990726429675426</v>
      </c>
      <c r="F562" s="405">
        <v>50.290343486714193</v>
      </c>
      <c r="G562" s="405">
        <v>50.092352619091074</v>
      </c>
      <c r="H562" s="405">
        <v>50.222668004012036</v>
      </c>
      <c r="I562" s="405">
        <v>49.942874323511724</v>
      </c>
      <c r="J562" s="405">
        <v>50.43016116653876</v>
      </c>
      <c r="K562" s="405">
        <v>50.01903114186851</v>
      </c>
      <c r="L562" s="405">
        <v>50.526679605715081</v>
      </c>
      <c r="M562" s="405">
        <v>50.223666918377688</v>
      </c>
      <c r="N562" s="405">
        <v>50.21894569053854</v>
      </c>
    </row>
    <row r="563" spans="1:14" ht="14.5">
      <c r="A563" s="472"/>
      <c r="B563" s="578" t="s">
        <v>117</v>
      </c>
      <c r="C563" s="405">
        <v>50</v>
      </c>
      <c r="D563" s="405">
        <v>50.879953679876479</v>
      </c>
      <c r="E563" s="405">
        <v>50.284772010324062</v>
      </c>
      <c r="F563" s="405">
        <v>50.475560398505607</v>
      </c>
      <c r="G563" s="405">
        <v>50.098613736609956</v>
      </c>
      <c r="H563" s="405">
        <v>50.101694915254235</v>
      </c>
      <c r="I563" s="405">
        <v>49.976190476190474</v>
      </c>
      <c r="J563" s="405">
        <v>50.075211051419799</v>
      </c>
      <c r="K563" s="405">
        <v>50.001897533206829</v>
      </c>
      <c r="L563" s="405">
        <v>50.157445228369845</v>
      </c>
      <c r="M563" s="405">
        <v>49.754104991312438</v>
      </c>
      <c r="N563" s="405">
        <v>50.433099058480309</v>
      </c>
    </row>
    <row r="564" spans="1:14" ht="14.5">
      <c r="A564" s="472"/>
      <c r="B564" s="578" t="s">
        <v>112</v>
      </c>
      <c r="C564" s="405">
        <v>50</v>
      </c>
      <c r="D564" s="405">
        <v>50.283561643835618</v>
      </c>
      <c r="E564" s="405">
        <v>50.094822571262362</v>
      </c>
      <c r="F564" s="405">
        <v>50.256131165610363</v>
      </c>
      <c r="G564" s="405">
        <v>50.103587759409073</v>
      </c>
      <c r="H564" s="405">
        <v>50.577606919750117</v>
      </c>
      <c r="I564" s="405">
        <v>50.006756756756758</v>
      </c>
      <c r="J564" s="405">
        <v>50.059094397544129</v>
      </c>
      <c r="K564" s="405">
        <v>50.081314878892734</v>
      </c>
      <c r="L564" s="405">
        <v>50.21336927348478</v>
      </c>
      <c r="M564" s="405">
        <v>50.527696550171648</v>
      </c>
      <c r="N564" s="405">
        <v>50.328477965683248</v>
      </c>
    </row>
    <row r="565" spans="1:14" ht="14.5">
      <c r="A565" s="472"/>
      <c r="B565" s="578" t="s">
        <v>113</v>
      </c>
      <c r="C565" s="405">
        <v>50</v>
      </c>
      <c r="D565" s="405">
        <v>50.259794833765916</v>
      </c>
      <c r="E565" s="405">
        <v>50.168484187568154</v>
      </c>
      <c r="F565" s="405">
        <v>50.037535014005606</v>
      </c>
      <c r="G565" s="405">
        <v>50.136890627182567</v>
      </c>
      <c r="H565" s="405">
        <v>50.100954979536155</v>
      </c>
      <c r="I565" s="405">
        <v>49.974405850091408</v>
      </c>
      <c r="J565" s="405">
        <v>50.059094397544129</v>
      </c>
      <c r="K565" s="405">
        <v>50.184534270650261</v>
      </c>
      <c r="L565" s="405">
        <v>50.167857142857144</v>
      </c>
      <c r="M565" s="405">
        <v>50.367569647933522</v>
      </c>
      <c r="N565" s="405">
        <v>50.156658474067896</v>
      </c>
    </row>
    <row r="566" spans="1:14" ht="14.5">
      <c r="A566" s="472"/>
      <c r="B566" s="578" t="s">
        <v>114</v>
      </c>
      <c r="C566" s="405">
        <v>50</v>
      </c>
      <c r="D566" s="405">
        <v>50.804238410596028</v>
      </c>
      <c r="E566" s="405">
        <v>50.1575792178133</v>
      </c>
      <c r="F566" s="405">
        <v>49.777475516866161</v>
      </c>
      <c r="G566" s="405">
        <v>50.011047282368537</v>
      </c>
      <c r="H566" s="405">
        <v>50.12251216275984</v>
      </c>
      <c r="I566" s="405">
        <v>50.1049339819319</v>
      </c>
      <c r="J566" s="405">
        <v>50.04032258064516</v>
      </c>
      <c r="K566" s="405">
        <v>50.001886792452829</v>
      </c>
      <c r="L566" s="405">
        <v>50.243586095071919</v>
      </c>
      <c r="M566" s="405">
        <v>50.088243570262819</v>
      </c>
      <c r="N566" s="405">
        <v>50.288511261640828</v>
      </c>
    </row>
    <row r="567" spans="1:14" ht="14.5">
      <c r="A567" s="472"/>
      <c r="B567" s="578" t="s">
        <v>115</v>
      </c>
      <c r="C567" s="405">
        <v>50</v>
      </c>
      <c r="D567" s="405">
        <v>49.47324890152494</v>
      </c>
      <c r="E567" s="405">
        <v>50.100868590641639</v>
      </c>
      <c r="F567" s="405">
        <v>49.78759833410458</v>
      </c>
      <c r="G567" s="405">
        <v>50.199379222201934</v>
      </c>
      <c r="H567" s="405">
        <v>50.629364745477496</v>
      </c>
      <c r="I567" s="405">
        <v>50.049907578558226</v>
      </c>
      <c r="J567" s="405">
        <v>50</v>
      </c>
      <c r="K567" s="405">
        <v>50.027932960893857</v>
      </c>
      <c r="L567" s="405">
        <v>50.225395192678178</v>
      </c>
      <c r="M567" s="405">
        <v>49.829463811601528</v>
      </c>
      <c r="N567" s="405">
        <v>50.482695984402369</v>
      </c>
    </row>
    <row r="568" spans="1:14" ht="14.5">
      <c r="A568" s="473"/>
      <c r="B568" s="576" t="s">
        <v>116</v>
      </c>
      <c r="C568" s="407">
        <v>50</v>
      </c>
      <c r="D568" s="407">
        <v>50.16572001336452</v>
      </c>
      <c r="E568" s="407">
        <v>50.187675858187959</v>
      </c>
      <c r="F568" s="407">
        <v>50.050393700787403</v>
      </c>
      <c r="G568" s="407">
        <v>50.128777670837344</v>
      </c>
      <c r="H568" s="407">
        <v>49.352338530066817</v>
      </c>
      <c r="I568" s="407">
        <v>50.071604938271605</v>
      </c>
      <c r="J568" s="407">
        <v>50.021688613477927</v>
      </c>
      <c r="K568" s="407">
        <v>50.033771106941842</v>
      </c>
      <c r="L568" s="407">
        <v>50.38527344943477</v>
      </c>
      <c r="M568" s="407">
        <v>50.327845411931342</v>
      </c>
      <c r="N568" s="407">
        <v>50.51003031502578</v>
      </c>
    </row>
    <row r="569" spans="1:14" ht="14.5">
      <c r="A569" s="471">
        <v>2024</v>
      </c>
      <c r="B569" s="577" t="s">
        <v>105</v>
      </c>
      <c r="C569" s="403">
        <v>50</v>
      </c>
      <c r="D569" s="403">
        <v>50.81196368610869</v>
      </c>
      <c r="E569" s="403">
        <v>50.028236707720033</v>
      </c>
      <c r="F569" s="403">
        <v>50.542016806722692</v>
      </c>
      <c r="G569" s="403">
        <v>50.10488711060303</v>
      </c>
      <c r="H569" s="403">
        <v>49.405684754521964</v>
      </c>
      <c r="I569" s="403">
        <v>49.956989247311824</v>
      </c>
      <c r="J569" s="403">
        <v>50.08365310821182</v>
      </c>
      <c r="K569" s="403">
        <v>50.049382716049379</v>
      </c>
      <c r="L569" s="403">
        <v>49.749763217377101</v>
      </c>
      <c r="M569" s="403">
        <v>50.442358385618299</v>
      </c>
      <c r="N569" s="403">
        <v>49.795840370180919</v>
      </c>
    </row>
    <row r="570" spans="1:14" ht="14.5">
      <c r="A570" s="472"/>
      <c r="B570" s="578" t="s">
        <v>106</v>
      </c>
      <c r="C570" s="405">
        <v>50</v>
      </c>
      <c r="D570" s="405">
        <v>50.685496525442723</v>
      </c>
      <c r="E570" s="405">
        <v>50.127248048863251</v>
      </c>
      <c r="F570" s="405">
        <v>50.259097898513581</v>
      </c>
      <c r="G570" s="405">
        <v>50.175396278428671</v>
      </c>
      <c r="H570" s="405">
        <v>50.717948717948715</v>
      </c>
      <c r="I570" s="405">
        <v>50.185866983372925</v>
      </c>
      <c r="J570" s="405">
        <v>50.122773777946193</v>
      </c>
      <c r="K570" s="405">
        <v>50.074433656957929</v>
      </c>
      <c r="L570" s="405">
        <v>50.065740740740743</v>
      </c>
      <c r="M570" s="405">
        <v>50.146797717184526</v>
      </c>
      <c r="N570" s="405">
        <v>50.275397242410214</v>
      </c>
    </row>
    <row r="571" spans="1:14" ht="14.5">
      <c r="A571" s="472"/>
      <c r="B571" s="578" t="s">
        <v>107</v>
      </c>
      <c r="C571" s="405">
        <v>50</v>
      </c>
      <c r="D571" s="405">
        <v>50.200665307436424</v>
      </c>
      <c r="E571" s="405">
        <v>50.085009733939003</v>
      </c>
      <c r="F571" s="405">
        <v>50.387561672292911</v>
      </c>
      <c r="G571" s="405">
        <v>50.128125919388054</v>
      </c>
      <c r="H571" s="405">
        <v>50.798574821852732</v>
      </c>
      <c r="I571" s="405">
        <v>50.163615560640736</v>
      </c>
      <c r="J571" s="405">
        <v>50.431602879878739</v>
      </c>
      <c r="K571" s="405">
        <v>50.051612903225809</v>
      </c>
      <c r="L571" s="405">
        <v>50.465856481481481</v>
      </c>
      <c r="M571" s="405">
        <v>50.10697197539303</v>
      </c>
      <c r="N571" s="405">
        <v>50.244644741467432</v>
      </c>
    </row>
    <row r="572" spans="1:14" ht="14.5">
      <c r="A572" s="472"/>
      <c r="B572" s="578" t="s">
        <v>108</v>
      </c>
      <c r="C572" s="405">
        <v>50</v>
      </c>
      <c r="D572" s="405">
        <v>50.241251717940585</v>
      </c>
      <c r="E572" s="405">
        <v>49.931975560081469</v>
      </c>
      <c r="F572" s="405">
        <v>50.24231511254019</v>
      </c>
      <c r="G572" s="405">
        <v>49.947083685545223</v>
      </c>
      <c r="H572" s="405">
        <v>49.388888888888886</v>
      </c>
      <c r="I572" s="405">
        <v>50.006053268765136</v>
      </c>
      <c r="J572" s="405">
        <v>50.100119189511325</v>
      </c>
      <c r="K572" s="405">
        <v>50.121794871794869</v>
      </c>
      <c r="L572" s="405">
        <v>50.104097818902844</v>
      </c>
      <c r="M572" s="405">
        <v>50.551006482429202</v>
      </c>
      <c r="N572" s="405">
        <v>50.247876620473846</v>
      </c>
    </row>
    <row r="573" spans="1:14" ht="14.5">
      <c r="A573" s="472"/>
      <c r="B573" s="578" t="s">
        <v>109</v>
      </c>
      <c r="C573" s="405">
        <v>50</v>
      </c>
      <c r="D573" s="405">
        <v>49.76258389261745</v>
      </c>
      <c r="E573" s="405">
        <v>50.027972027972027</v>
      </c>
      <c r="F573" s="405">
        <v>50.044078597981944</v>
      </c>
      <c r="G573" s="405">
        <v>50.05</v>
      </c>
      <c r="H573" s="405">
        <v>50.042432195975501</v>
      </c>
      <c r="I573" s="405">
        <v>50.115527950310558</v>
      </c>
      <c r="J573" s="405">
        <v>50.017430845017053</v>
      </c>
      <c r="K573" s="405">
        <v>49.889937106918239</v>
      </c>
      <c r="L573" s="405">
        <v>50.126108092650846</v>
      </c>
      <c r="M573" s="405">
        <v>50.545962732919257</v>
      </c>
      <c r="N573" s="405">
        <v>50.269449511750189</v>
      </c>
    </row>
    <row r="574" spans="1:14" ht="14.5">
      <c r="A574" s="472"/>
      <c r="B574" s="578" t="s">
        <v>110</v>
      </c>
      <c r="C574" s="405">
        <v>50</v>
      </c>
      <c r="D574" s="405">
        <v>49.845955056179776</v>
      </c>
      <c r="E574" s="405">
        <v>50.260463618802319</v>
      </c>
      <c r="F574" s="405">
        <v>50.025368812905008</v>
      </c>
      <c r="G574" s="405">
        <v>50.14010910134941</v>
      </c>
      <c r="H574" s="405">
        <v>50.107611548556427</v>
      </c>
      <c r="I574" s="405">
        <v>50.133699633699635</v>
      </c>
      <c r="J574" s="405">
        <v>50.047366426676774</v>
      </c>
      <c r="K574" s="405">
        <v>49.883647798742139</v>
      </c>
      <c r="L574" s="405">
        <v>50.316990036706869</v>
      </c>
      <c r="M574" s="405">
        <v>49.453067257945307</v>
      </c>
      <c r="N574" s="405">
        <v>50.232399860573601</v>
      </c>
    </row>
    <row r="575" spans="1:14" ht="14.5">
      <c r="A575" s="472"/>
      <c r="B575" s="578" t="s">
        <v>117</v>
      </c>
      <c r="C575" s="405">
        <v>50</v>
      </c>
      <c r="D575" s="405">
        <v>50.859165268456373</v>
      </c>
      <c r="E575" s="405">
        <v>50.054827586206898</v>
      </c>
      <c r="F575" s="405">
        <v>50.078481443649984</v>
      </c>
      <c r="G575" s="405">
        <v>50.211472602739725</v>
      </c>
      <c r="H575" s="405">
        <v>50.603674540682412</v>
      </c>
      <c r="I575" s="405">
        <v>50.026143790849673</v>
      </c>
      <c r="J575" s="405">
        <v>50.023302531137006</v>
      </c>
      <c r="K575" s="405">
        <v>50.142405063291136</v>
      </c>
      <c r="L575" s="405">
        <v>49.923877834335954</v>
      </c>
      <c r="M575" s="405">
        <v>50.541218637992834</v>
      </c>
      <c r="N575" s="405">
        <v>50.409375098049054</v>
      </c>
    </row>
    <row r="576" spans="1:14" ht="14.5">
      <c r="A576" s="472"/>
      <c r="B576" s="578" t="s">
        <v>112</v>
      </c>
      <c r="C576" s="405">
        <v>50</v>
      </c>
      <c r="D576" s="405">
        <v>50.27864473499227</v>
      </c>
      <c r="E576" s="405">
        <v>50.14641288433382</v>
      </c>
      <c r="F576" s="405">
        <v>50.338739210044466</v>
      </c>
      <c r="G576" s="405">
        <v>50.055294807861543</v>
      </c>
      <c r="H576" s="405">
        <v>50.652173913043477</v>
      </c>
      <c r="I576" s="405">
        <v>50</v>
      </c>
      <c r="J576" s="405">
        <v>50.441117764471059</v>
      </c>
      <c r="K576" s="405">
        <v>50.088414634146339</v>
      </c>
      <c r="L576" s="405">
        <v>50.198732572877063</v>
      </c>
      <c r="M576" s="405">
        <v>50</v>
      </c>
      <c r="N576" s="405">
        <v>50.537835169432626</v>
      </c>
    </row>
    <row r="577" spans="1:14" ht="14.5">
      <c r="A577" s="472"/>
      <c r="B577" s="578" t="s">
        <v>113</v>
      </c>
      <c r="C577" s="405">
        <v>50</v>
      </c>
      <c r="D577" s="405">
        <v>49.358102434928632</v>
      </c>
      <c r="E577" s="405">
        <v>50.05075662042875</v>
      </c>
      <c r="F577" s="405">
        <v>49.932614964334498</v>
      </c>
      <c r="G577" s="405">
        <v>50.180483464333385</v>
      </c>
      <c r="H577" s="405">
        <v>50.025809273840771</v>
      </c>
      <c r="I577" s="405">
        <v>50.039271485486623</v>
      </c>
      <c r="J577" s="405">
        <v>50.0879871434311</v>
      </c>
      <c r="K577" s="405">
        <v>50.016713091922007</v>
      </c>
      <c r="L577" s="405">
        <v>50.200661241098679</v>
      </c>
      <c r="M577" s="405">
        <v>50.048032228075613</v>
      </c>
      <c r="N577" s="405">
        <v>50.156977861707901</v>
      </c>
    </row>
    <row r="578" spans="1:14" ht="14.5">
      <c r="A578" s="472"/>
      <c r="B578" s="578" t="s">
        <v>114</v>
      </c>
      <c r="C578" s="405">
        <v>50</v>
      </c>
      <c r="D578" s="405">
        <v>49.833473154362416</v>
      </c>
      <c r="E578" s="405">
        <v>50.055754323196183</v>
      </c>
      <c r="F578" s="405">
        <v>49.7737395819101</v>
      </c>
      <c r="G578" s="405">
        <v>49.931288528040895</v>
      </c>
      <c r="H578" s="405">
        <v>50.679474708171206</v>
      </c>
      <c r="I578" s="405">
        <v>50.084316037735846</v>
      </c>
      <c r="J578" s="405">
        <v>49.991161108879069</v>
      </c>
      <c r="K578" s="405">
        <v>49.927374301675975</v>
      </c>
      <c r="L578" s="405">
        <v>50.200661241098679</v>
      </c>
      <c r="M578" s="405">
        <v>49.995649471721563</v>
      </c>
      <c r="N578" s="405">
        <v>50.210722592683517</v>
      </c>
    </row>
    <row r="579" spans="1:14" ht="14.5">
      <c r="A579" s="472"/>
      <c r="B579" s="578" t="s">
        <v>115</v>
      </c>
      <c r="C579" s="405">
        <v>50</v>
      </c>
      <c r="D579" s="405">
        <v>49.783242449664428</v>
      </c>
      <c r="E579" s="405">
        <v>50.221815763219155</v>
      </c>
      <c r="F579" s="405">
        <v>49.916442393951044</v>
      </c>
      <c r="G579" s="405">
        <v>49.997560275545354</v>
      </c>
      <c r="H579" s="405">
        <v>50.664041994750654</v>
      </c>
      <c r="I579" s="405">
        <v>50.157987643424534</v>
      </c>
      <c r="J579" s="405">
        <v>50.05122950819672</v>
      </c>
      <c r="K579" s="405">
        <v>50.050746268656717</v>
      </c>
      <c r="L579" s="405">
        <v>50.062111801242239</v>
      </c>
      <c r="M579" s="405">
        <v>50.631949331456724</v>
      </c>
      <c r="N579" s="405">
        <v>49.94587464453285</v>
      </c>
    </row>
    <row r="580" spans="1:14" ht="14.5">
      <c r="A580" s="473"/>
      <c r="B580" s="576" t="s">
        <v>116</v>
      </c>
      <c r="C580" s="407">
        <v>50</v>
      </c>
      <c r="D580" s="407">
        <v>49.745803357314202</v>
      </c>
      <c r="E580" s="407">
        <v>50.387202380952381</v>
      </c>
      <c r="F580" s="407">
        <v>50.03</v>
      </c>
      <c r="G580" s="407">
        <v>50.198959687906374</v>
      </c>
      <c r="H580" s="407">
        <v>49.143272023233301</v>
      </c>
      <c r="I580" s="407">
        <v>50.135971223021585</v>
      </c>
      <c r="J580" s="407">
        <v>50.147268408551071</v>
      </c>
      <c r="K580" s="407">
        <v>50.163424124513618</v>
      </c>
      <c r="L580" s="407">
        <v>50.070488955075703</v>
      </c>
      <c r="M580" s="407">
        <v>49.987099296325255</v>
      </c>
      <c r="N580" s="407">
        <v>50.507920020773824</v>
      </c>
    </row>
    <row r="581" spans="1:14" ht="14.5">
      <c r="A581" s="471">
        <v>2025</v>
      </c>
      <c r="B581" s="577" t="s">
        <v>105</v>
      </c>
      <c r="C581" s="403">
        <v>50</v>
      </c>
      <c r="D581" s="403">
        <v>49.753370228466011</v>
      </c>
      <c r="E581" s="403">
        <v>49.896540880503146</v>
      </c>
      <c r="F581" s="403">
        <v>50.225701791507973</v>
      </c>
      <c r="G581" s="403">
        <v>50.290829430427557</v>
      </c>
      <c r="H581" s="403">
        <v>50.595905651980416</v>
      </c>
      <c r="I581" s="403">
        <v>49.921372408863476</v>
      </c>
      <c r="J581" s="403">
        <v>50.470387729015762</v>
      </c>
      <c r="K581" s="403">
        <v>50.058201058201057</v>
      </c>
      <c r="L581" s="403">
        <v>50.229258206254848</v>
      </c>
      <c r="M581" s="403">
        <v>49.96685275645499</v>
      </c>
      <c r="N581" s="403">
        <v>50.507920020773824</v>
      </c>
    </row>
    <row r="582" spans="1:14" ht="14.5">
      <c r="A582" s="472"/>
      <c r="B582" s="578" t="s">
        <v>106</v>
      </c>
      <c r="C582" s="405">
        <v>50</v>
      </c>
      <c r="D582" s="405">
        <v>49.706169737576772</v>
      </c>
      <c r="E582" s="405">
        <v>49.959408602150539</v>
      </c>
      <c r="F582" s="405">
        <v>50.18652657601978</v>
      </c>
      <c r="G582" s="405">
        <v>50.214749837556852</v>
      </c>
      <c r="H582" s="405">
        <v>49.278322925958967</v>
      </c>
      <c r="I582" s="405">
        <v>50.13153724247227</v>
      </c>
      <c r="J582" s="405">
        <v>50.5055423594616</v>
      </c>
      <c r="K582" s="405">
        <v>50.05952380952381</v>
      </c>
      <c r="L582" s="405">
        <v>49.718828242363543</v>
      </c>
      <c r="M582" s="405">
        <v>49.947054698457222</v>
      </c>
      <c r="N582" s="405">
        <v>50.333620937589878</v>
      </c>
    </row>
    <row r="583" spans="1:14" ht="14.5">
      <c r="A583" s="472"/>
      <c r="B583" s="578" t="s">
        <v>107</v>
      </c>
      <c r="C583" s="405">
        <v>50</v>
      </c>
      <c r="D583" s="405">
        <v>50.18307166290316</v>
      </c>
      <c r="E583" s="405">
        <v>50.053061224489795</v>
      </c>
      <c r="F583" s="405">
        <v>50.318440527326196</v>
      </c>
      <c r="G583" s="405">
        <v>50.122891968609117</v>
      </c>
      <c r="H583" s="405">
        <v>50.673342234089901</v>
      </c>
      <c r="I583" s="405">
        <v>50.049469964664311</v>
      </c>
      <c r="J583" s="405">
        <v>50.162466681500824</v>
      </c>
      <c r="K583" s="405">
        <v>50.121600505858105</v>
      </c>
      <c r="L583" s="405">
        <v>50.218026023484605</v>
      </c>
      <c r="M583" s="405">
        <v>50.10537769612133</v>
      </c>
      <c r="N583" s="405">
        <v>50.24961688702291</v>
      </c>
    </row>
    <row r="584" spans="1:14" ht="14.5">
      <c r="A584" s="472"/>
      <c r="B584" s="578" t="s">
        <v>108</v>
      </c>
      <c r="C584" s="405">
        <v>50</v>
      </c>
      <c r="D584" s="405">
        <v>50.075127917134658</v>
      </c>
      <c r="E584" s="405">
        <v>50.203399275564223</v>
      </c>
      <c r="F584" s="405">
        <v>50.307661126874748</v>
      </c>
      <c r="G584" s="405">
        <v>49.993631516587676</v>
      </c>
      <c r="H584" s="405">
        <v>49.483597493549574</v>
      </c>
      <c r="I584" s="405">
        <v>49.776610644257701</v>
      </c>
      <c r="J584" s="405">
        <v>50.186905428091777</v>
      </c>
      <c r="K584" s="405">
        <v>50.426380368098158</v>
      </c>
      <c r="L584" s="405">
        <v>50.268250857422835</v>
      </c>
      <c r="M584" s="405">
        <v>50.161734900689098</v>
      </c>
      <c r="N584" s="405">
        <v>50.366182436853812</v>
      </c>
    </row>
    <row r="585" spans="1:14" ht="14.5">
      <c r="A585" s="472"/>
      <c r="B585" s="578" t="s">
        <v>109</v>
      </c>
      <c r="C585" s="405">
        <v>50</v>
      </c>
      <c r="D585" s="405">
        <v>49.54173187271779</v>
      </c>
      <c r="E585" s="405">
        <v>50.07752566180443</v>
      </c>
      <c r="F585" s="405">
        <v>50.076592890677396</v>
      </c>
      <c r="G585" s="405">
        <v>50.023724792408068</v>
      </c>
      <c r="H585" s="405">
        <v>49.957655826558266</v>
      </c>
      <c r="I585" s="405">
        <v>49.986425339366512</v>
      </c>
      <c r="J585" s="405">
        <v>50.482694454782283</v>
      </c>
      <c r="K585" s="405">
        <v>50.06369426751592</v>
      </c>
      <c r="L585" s="405">
        <v>50.037984299822739</v>
      </c>
      <c r="M585" s="405">
        <v>50.026807980049874</v>
      </c>
      <c r="N585" s="405">
        <v>50.234679334916898</v>
      </c>
    </row>
    <row r="586" spans="1:14" ht="14.5">
      <c r="A586" s="472"/>
      <c r="B586" s="578" t="s">
        <v>110</v>
      </c>
      <c r="C586" s="702">
        <v>50</v>
      </c>
      <c r="D586" s="702">
        <v>50.2</v>
      </c>
      <c r="E586" s="702">
        <v>50.2</v>
      </c>
      <c r="F586" s="702">
        <v>50.1</v>
      </c>
      <c r="G586" s="702">
        <v>50.2</v>
      </c>
      <c r="H586" s="702">
        <v>50.8</v>
      </c>
      <c r="I586" s="702">
        <v>50.1</v>
      </c>
      <c r="J586" s="702">
        <v>50.6</v>
      </c>
      <c r="K586" s="702">
        <v>50.1</v>
      </c>
      <c r="L586" s="702">
        <v>50.1</v>
      </c>
      <c r="M586" s="702">
        <v>50</v>
      </c>
      <c r="N586" s="702">
        <v>50.5</v>
      </c>
    </row>
    <row r="587" spans="1:14" ht="14.5">
      <c r="A587" s="472"/>
      <c r="B587" s="578" t="s">
        <v>117</v>
      </c>
      <c r="C587" s="702">
        <v>50</v>
      </c>
      <c r="D587" s="702">
        <v>50.358344827586201</v>
      </c>
      <c r="E587" s="702">
        <v>50.0455607476636</v>
      </c>
      <c r="F587" s="702">
        <v>49.981931193986703</v>
      </c>
      <c r="G587" s="702">
        <v>50.044756179024702</v>
      </c>
      <c r="H587" s="702">
        <v>50.387144992526203</v>
      </c>
      <c r="I587" s="702">
        <v>49.975965665236103</v>
      </c>
      <c r="J587" s="702">
        <v>50.066741237882198</v>
      </c>
      <c r="K587" s="702">
        <v>50.1490683229814</v>
      </c>
      <c r="L587" s="702">
        <v>49.736951364175603</v>
      </c>
      <c r="M587" s="702">
        <v>50.063966691900099</v>
      </c>
      <c r="N587" s="702">
        <v>50.252380952381003</v>
      </c>
    </row>
    <row r="588" spans="1:14" ht="14.5">
      <c r="A588" s="473"/>
      <c r="B588" s="576" t="s">
        <v>112</v>
      </c>
      <c r="C588" s="696">
        <v>50</v>
      </c>
      <c r="D588" s="696">
        <v>49.421827690613803</v>
      </c>
      <c r="E588" s="696">
        <v>49.894496720844003</v>
      </c>
      <c r="F588" s="696">
        <v>50.326327747798899</v>
      </c>
      <c r="G588" s="696">
        <v>50.052096052096097</v>
      </c>
      <c r="H588" s="696">
        <v>49.267670915411401</v>
      </c>
      <c r="I588" s="696">
        <v>50.002677376171299</v>
      </c>
      <c r="J588" s="696">
        <v>50.041573033707898</v>
      </c>
      <c r="K588" s="696">
        <v>50.2861356932153</v>
      </c>
      <c r="L588" s="696">
        <v>50.182672540381802</v>
      </c>
      <c r="M588" s="696">
        <v>50.034564958283703</v>
      </c>
      <c r="N588" s="696">
        <v>50.140683276144998</v>
      </c>
    </row>
    <row r="590" spans="1:14">
      <c r="A590" s="574" t="s">
        <v>118</v>
      </c>
      <c r="B590" s="65"/>
      <c r="C590" s="65"/>
      <c r="D590" s="65"/>
      <c r="E590" s="65"/>
    </row>
  </sheetData>
  <sheetProtection formatCells="0" insertColumns="0" insertRows="0" deleteColumns="0" deleteRows="0"/>
  <mergeCells count="37">
    <mergeCell ref="A526:B527"/>
    <mergeCell ref="D526:N526"/>
    <mergeCell ref="A331:B332"/>
    <mergeCell ref="D331:N331"/>
    <mergeCell ref="A396:B397"/>
    <mergeCell ref="D396:N396"/>
    <mergeCell ref="A461:B462"/>
    <mergeCell ref="D461:N461"/>
    <mergeCell ref="C526:C527"/>
    <mergeCell ref="A525:N525"/>
    <mergeCell ref="C331:C332"/>
    <mergeCell ref="C396:C397"/>
    <mergeCell ref="C461:C462"/>
    <mergeCell ref="A1:N1"/>
    <mergeCell ref="A5:N5"/>
    <mergeCell ref="A70:N70"/>
    <mergeCell ref="A135:N135"/>
    <mergeCell ref="A200:N200"/>
    <mergeCell ref="D136:N136"/>
    <mergeCell ref="C71:C72"/>
    <mergeCell ref="C136:C137"/>
    <mergeCell ref="A6:B7"/>
    <mergeCell ref="A71:B72"/>
    <mergeCell ref="D71:N71"/>
    <mergeCell ref="A136:B137"/>
    <mergeCell ref="D6:N6"/>
    <mergeCell ref="C6:C7"/>
    <mergeCell ref="A330:N330"/>
    <mergeCell ref="A395:N395"/>
    <mergeCell ref="A460:N460"/>
    <mergeCell ref="A201:B202"/>
    <mergeCell ref="D201:N201"/>
    <mergeCell ref="A266:B267"/>
    <mergeCell ref="D266:N266"/>
    <mergeCell ref="A265:N265"/>
    <mergeCell ref="C201:C202"/>
    <mergeCell ref="C266:C26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3"/>
  <sheetViews>
    <sheetView zoomScaleNormal="100" workbookViewId="0">
      <pane xSplit="2" ySplit="4" topLeftCell="C180" activePane="bottomRight" state="frozen"/>
      <selection pane="topRight" activeCell="D156" sqref="D156"/>
      <selection pane="bottomLeft" activeCell="D156" sqref="D156"/>
      <selection pane="bottomRight" sqref="A1:G1"/>
    </sheetView>
  </sheetViews>
  <sheetFormatPr defaultColWidth="9.1796875" defaultRowHeight="12.5"/>
  <cols>
    <col min="1" max="2" width="6.81640625" style="59" customWidth="1"/>
    <col min="3" max="3" width="15.81640625" style="59" customWidth="1"/>
    <col min="4" max="4" width="16.1796875" style="59" bestFit="1" customWidth="1"/>
    <col min="5" max="5" width="15.81640625" style="59" customWidth="1"/>
    <col min="6" max="6" width="20.81640625" style="59" customWidth="1"/>
    <col min="7" max="7" width="25.81640625" style="59" customWidth="1"/>
    <col min="8" max="16384" width="9.1796875" style="59"/>
  </cols>
  <sheetData>
    <row r="1" spans="1:7" ht="13">
      <c r="A1" s="716" t="s">
        <v>96</v>
      </c>
      <c r="B1" s="716"/>
      <c r="C1" s="716"/>
      <c r="D1" s="716"/>
      <c r="E1" s="716"/>
      <c r="F1" s="716"/>
      <c r="G1" s="716"/>
    </row>
    <row r="2" spans="1:7" s="65" customFormat="1" ht="15.75" customHeight="1">
      <c r="A2" s="718" t="s">
        <v>97</v>
      </c>
      <c r="B2" s="718"/>
      <c r="C2" s="718"/>
      <c r="D2" s="718"/>
      <c r="E2" s="718"/>
      <c r="F2" s="718"/>
      <c r="G2" s="718"/>
    </row>
    <row r="3" spans="1:7" s="399" customFormat="1" ht="15" customHeight="1">
      <c r="A3" s="717" t="s">
        <v>98</v>
      </c>
      <c r="B3" s="717"/>
      <c r="C3" s="719" t="s">
        <v>99</v>
      </c>
      <c r="D3" s="719"/>
      <c r="E3" s="719"/>
      <c r="F3" s="717" t="s">
        <v>100</v>
      </c>
      <c r="G3" s="717" t="s">
        <v>101</v>
      </c>
    </row>
    <row r="4" spans="1:7" s="399" customFormat="1" ht="15.75" customHeight="1">
      <c r="A4" s="717"/>
      <c r="B4" s="717"/>
      <c r="C4" s="568" t="s">
        <v>102</v>
      </c>
      <c r="D4" s="569" t="s">
        <v>103</v>
      </c>
      <c r="E4" s="570" t="s">
        <v>104</v>
      </c>
      <c r="F4" s="717"/>
      <c r="G4" s="717"/>
    </row>
    <row r="5" spans="1:7" s="66" customFormat="1" ht="12.75" hidden="1" customHeight="1">
      <c r="A5" s="97">
        <v>2010</v>
      </c>
      <c r="B5" s="98" t="s">
        <v>105</v>
      </c>
      <c r="C5" s="99">
        <f t="shared" ref="C5:C68" si="0">D5+E5</f>
        <v>927.57800000000009</v>
      </c>
      <c r="D5" s="99">
        <v>894.2</v>
      </c>
      <c r="E5" s="99">
        <v>33.378</v>
      </c>
      <c r="F5" s="99">
        <v>736.8</v>
      </c>
      <c r="G5" s="112">
        <f t="shared" ref="G5:G16" si="1">F5/C5</f>
        <v>0.79432673047441815</v>
      </c>
    </row>
    <row r="6" spans="1:7" s="66" customFormat="1" ht="12.75" hidden="1" customHeight="1">
      <c r="A6" s="97"/>
      <c r="B6" s="98" t="s">
        <v>106</v>
      </c>
      <c r="C6" s="99">
        <f t="shared" si="0"/>
        <v>962.11</v>
      </c>
      <c r="D6" s="99">
        <v>928.7</v>
      </c>
      <c r="E6" s="99">
        <v>33.409999999999997</v>
      </c>
      <c r="F6" s="99">
        <v>780.2</v>
      </c>
      <c r="G6" s="112">
        <f t="shared" si="1"/>
        <v>0.81092598559416285</v>
      </c>
    </row>
    <row r="7" spans="1:7" s="66" customFormat="1" ht="12.75" hidden="1" customHeight="1">
      <c r="A7" s="97"/>
      <c r="B7" s="98" t="s">
        <v>107</v>
      </c>
      <c r="C7" s="99">
        <f t="shared" si="0"/>
        <v>948.32999999999993</v>
      </c>
      <c r="D7" s="99">
        <v>914.8</v>
      </c>
      <c r="E7" s="99">
        <v>33.53</v>
      </c>
      <c r="F7" s="99">
        <v>787.7</v>
      </c>
      <c r="G7" s="112">
        <f t="shared" si="1"/>
        <v>0.83061803380679733</v>
      </c>
    </row>
    <row r="8" spans="1:7" s="66" customFormat="1" ht="12.75" hidden="1" customHeight="1">
      <c r="A8" s="97"/>
      <c r="B8" s="98" t="s">
        <v>108</v>
      </c>
      <c r="C8" s="99">
        <f t="shared" si="0"/>
        <v>921.02</v>
      </c>
      <c r="D8" s="99">
        <v>887.4</v>
      </c>
      <c r="E8" s="99">
        <v>33.619999999999997</v>
      </c>
      <c r="F8" s="99">
        <v>752.1</v>
      </c>
      <c r="G8" s="112">
        <f t="shared" si="1"/>
        <v>0.8165946450674253</v>
      </c>
    </row>
    <row r="9" spans="1:7" s="66" customFormat="1" ht="12.75" hidden="1" customHeight="1">
      <c r="A9" s="97"/>
      <c r="B9" s="98" t="s">
        <v>109</v>
      </c>
      <c r="C9" s="99">
        <f t="shared" si="0"/>
        <v>948.54</v>
      </c>
      <c r="D9" s="99">
        <v>914.9</v>
      </c>
      <c r="E9" s="99">
        <v>33.64</v>
      </c>
      <c r="F9" s="99">
        <v>783.4</v>
      </c>
      <c r="G9" s="112">
        <f t="shared" si="1"/>
        <v>0.82590085816096315</v>
      </c>
    </row>
    <row r="10" spans="1:7" s="66" customFormat="1" ht="12.75" hidden="1" customHeight="1">
      <c r="A10" s="97"/>
      <c r="B10" s="98" t="s">
        <v>110</v>
      </c>
      <c r="C10" s="99">
        <f t="shared" si="0"/>
        <v>937.83</v>
      </c>
      <c r="D10" s="99">
        <v>904.1</v>
      </c>
      <c r="E10" s="99">
        <v>33.729999999999997</v>
      </c>
      <c r="F10" s="99">
        <v>759.2</v>
      </c>
      <c r="G10" s="112">
        <f t="shared" si="1"/>
        <v>0.80952837934380428</v>
      </c>
    </row>
    <row r="11" spans="1:7" s="66" customFormat="1" ht="12.75" hidden="1" customHeight="1">
      <c r="A11" s="97"/>
      <c r="B11" s="98" t="s">
        <v>111</v>
      </c>
      <c r="C11" s="99">
        <f t="shared" si="0"/>
        <v>948.33</v>
      </c>
      <c r="D11" s="99">
        <v>914.46</v>
      </c>
      <c r="E11" s="99">
        <v>33.869999999999997</v>
      </c>
      <c r="F11" s="99">
        <v>764.7</v>
      </c>
      <c r="G11" s="112">
        <f t="shared" si="1"/>
        <v>0.80636487298725124</v>
      </c>
    </row>
    <row r="12" spans="1:7" s="66" customFormat="1" ht="12.75" hidden="1" customHeight="1">
      <c r="A12" s="97"/>
      <c r="B12" s="98" t="s">
        <v>112</v>
      </c>
      <c r="C12" s="99">
        <f t="shared" si="0"/>
        <v>972.99</v>
      </c>
      <c r="D12" s="99">
        <v>939.04</v>
      </c>
      <c r="E12" s="99">
        <v>33.950000000000003</v>
      </c>
      <c r="F12" s="99">
        <v>772.1</v>
      </c>
      <c r="G12" s="112">
        <f t="shared" si="1"/>
        <v>0.79353333538885296</v>
      </c>
    </row>
    <row r="13" spans="1:7" s="66" customFormat="1" ht="12.75" hidden="1" customHeight="1">
      <c r="A13" s="97"/>
      <c r="B13" s="98" t="s">
        <v>113</v>
      </c>
      <c r="C13" s="99">
        <f t="shared" si="0"/>
        <v>939.49</v>
      </c>
      <c r="D13" s="99">
        <v>905.76</v>
      </c>
      <c r="E13" s="99">
        <v>33.729999999999997</v>
      </c>
      <c r="F13" s="99">
        <v>759.5</v>
      </c>
      <c r="G13" s="112">
        <f t="shared" si="1"/>
        <v>0.8084173328082257</v>
      </c>
    </row>
    <row r="14" spans="1:7" s="66" customFormat="1" ht="12.75" hidden="1" customHeight="1">
      <c r="A14" s="97"/>
      <c r="B14" s="98" t="s">
        <v>114</v>
      </c>
      <c r="C14" s="99">
        <f t="shared" si="0"/>
        <v>951.88</v>
      </c>
      <c r="D14" s="99">
        <v>917.73</v>
      </c>
      <c r="E14" s="99">
        <v>34.15</v>
      </c>
      <c r="F14" s="99">
        <v>770.8</v>
      </c>
      <c r="G14" s="112">
        <f t="shared" si="1"/>
        <v>0.8097659368828003</v>
      </c>
    </row>
    <row r="15" spans="1:7" s="66" customFormat="1" ht="12.75" hidden="1" customHeight="1">
      <c r="A15" s="97"/>
      <c r="B15" s="98" t="s">
        <v>115</v>
      </c>
      <c r="C15" s="99">
        <f t="shared" si="0"/>
        <v>944.67</v>
      </c>
      <c r="D15" s="99">
        <v>910.43</v>
      </c>
      <c r="E15" s="99">
        <v>34.24</v>
      </c>
      <c r="F15" s="99">
        <v>746.3</v>
      </c>
      <c r="G15" s="112">
        <f t="shared" si="1"/>
        <v>0.79001132670668062</v>
      </c>
    </row>
    <row r="16" spans="1:7" s="66" customFormat="1" ht="12.75" hidden="1" customHeight="1">
      <c r="A16" s="100"/>
      <c r="B16" s="101" t="s">
        <v>116</v>
      </c>
      <c r="C16" s="102">
        <f t="shared" si="0"/>
        <v>1023.71</v>
      </c>
      <c r="D16" s="102">
        <v>989.39</v>
      </c>
      <c r="E16" s="102">
        <v>34.32</v>
      </c>
      <c r="F16" s="102">
        <v>815.7</v>
      </c>
      <c r="G16" s="113">
        <f t="shared" si="1"/>
        <v>0.79680768967774074</v>
      </c>
    </row>
    <row r="17" spans="1:7" s="65" customFormat="1" ht="14.5">
      <c r="A17" s="461">
        <v>2011</v>
      </c>
      <c r="B17" s="453" t="s">
        <v>105</v>
      </c>
      <c r="C17" s="104">
        <f t="shared" si="0"/>
        <v>1002.1999999999999</v>
      </c>
      <c r="D17" s="99">
        <v>967.81</v>
      </c>
      <c r="E17" s="99">
        <v>34.39</v>
      </c>
      <c r="F17" s="99">
        <v>794.3</v>
      </c>
      <c r="G17" s="114">
        <f>F17/C17</f>
        <v>0.79255637597285977</v>
      </c>
    </row>
    <row r="18" spans="1:7" s="65" customFormat="1" ht="13">
      <c r="A18" s="457"/>
      <c r="B18" s="450" t="s">
        <v>106</v>
      </c>
      <c r="C18" s="104">
        <f t="shared" si="0"/>
        <v>979.24</v>
      </c>
      <c r="D18" s="99">
        <v>944.76</v>
      </c>
      <c r="E18" s="99">
        <v>34.479999999999997</v>
      </c>
      <c r="F18" s="99">
        <v>805.8</v>
      </c>
      <c r="G18" s="114">
        <f t="shared" ref="G18:G76" si="2">F18/C18</f>
        <v>0.82288305216290181</v>
      </c>
    </row>
    <row r="19" spans="1:7" s="65" customFormat="1" ht="13">
      <c r="A19" s="457"/>
      <c r="B19" s="450" t="s">
        <v>107</v>
      </c>
      <c r="C19" s="104">
        <f t="shared" si="0"/>
        <v>949.86</v>
      </c>
      <c r="D19" s="99">
        <v>915.26</v>
      </c>
      <c r="E19" s="99">
        <v>34.6</v>
      </c>
      <c r="F19" s="99">
        <v>770.9</v>
      </c>
      <c r="G19" s="114">
        <f>F19/C19</f>
        <v>0.81159328743183201</v>
      </c>
    </row>
    <row r="20" spans="1:7" s="65" customFormat="1" ht="13">
      <c r="A20" s="457"/>
      <c r="B20" s="450" t="s">
        <v>108</v>
      </c>
      <c r="C20" s="104">
        <f t="shared" si="0"/>
        <v>972.84999999999991</v>
      </c>
      <c r="D20" s="99">
        <v>938.16</v>
      </c>
      <c r="E20" s="99">
        <v>34.69</v>
      </c>
      <c r="F20" s="99">
        <v>804.5</v>
      </c>
      <c r="G20" s="114">
        <f t="shared" si="2"/>
        <v>0.82695173973377201</v>
      </c>
    </row>
    <row r="21" spans="1:7" s="65" customFormat="1" ht="13">
      <c r="A21" s="457"/>
      <c r="B21" s="450" t="s">
        <v>109</v>
      </c>
      <c r="C21" s="104">
        <f t="shared" si="0"/>
        <v>971.1</v>
      </c>
      <c r="D21" s="99">
        <v>936.32</v>
      </c>
      <c r="E21" s="99">
        <v>34.78</v>
      </c>
      <c r="F21" s="99">
        <v>790.7</v>
      </c>
      <c r="G21" s="114">
        <f t="shared" si="2"/>
        <v>0.81423128411080226</v>
      </c>
    </row>
    <row r="22" spans="1:7" s="65" customFormat="1" ht="13">
      <c r="A22" s="457"/>
      <c r="B22" s="450" t="s">
        <v>110</v>
      </c>
      <c r="C22" s="104">
        <f t="shared" si="0"/>
        <v>942.15</v>
      </c>
      <c r="D22" s="99">
        <v>907.31</v>
      </c>
      <c r="E22" s="99">
        <v>34.840000000000003</v>
      </c>
      <c r="F22" s="99">
        <v>757</v>
      </c>
      <c r="G22" s="114">
        <f t="shared" si="2"/>
        <v>0.80348139892798387</v>
      </c>
    </row>
    <row r="23" spans="1:7" s="65" customFormat="1" ht="13">
      <c r="A23" s="457"/>
      <c r="B23" s="450" t="s">
        <v>111</v>
      </c>
      <c r="C23" s="104">
        <f t="shared" si="0"/>
        <v>953.04</v>
      </c>
      <c r="D23" s="99">
        <v>918.01</v>
      </c>
      <c r="E23" s="99">
        <v>35.03</v>
      </c>
      <c r="F23" s="99">
        <v>774.3</v>
      </c>
      <c r="G23" s="114">
        <f t="shared" si="2"/>
        <v>0.81245278267438925</v>
      </c>
    </row>
    <row r="24" spans="1:7" s="65" customFormat="1" ht="13">
      <c r="A24" s="457"/>
      <c r="B24" s="450" t="s">
        <v>112</v>
      </c>
      <c r="C24" s="104">
        <f t="shared" si="0"/>
        <v>970.83</v>
      </c>
      <c r="D24" s="99">
        <v>935.73</v>
      </c>
      <c r="E24" s="99">
        <v>35.1</v>
      </c>
      <c r="F24" s="99">
        <v>796.6</v>
      </c>
      <c r="G24" s="114">
        <f t="shared" si="2"/>
        <v>0.82053500612877639</v>
      </c>
    </row>
    <row r="25" spans="1:7" s="65" customFormat="1" ht="13">
      <c r="A25" s="457"/>
      <c r="B25" s="450" t="s">
        <v>113</v>
      </c>
      <c r="C25" s="104">
        <f t="shared" si="0"/>
        <v>915.2</v>
      </c>
      <c r="D25" s="99">
        <v>880</v>
      </c>
      <c r="E25" s="99">
        <v>35.200000000000003</v>
      </c>
      <c r="F25" s="99">
        <v>745.6</v>
      </c>
      <c r="G25" s="114">
        <f t="shared" si="2"/>
        <v>0.81468531468531469</v>
      </c>
    </row>
    <row r="26" spans="1:7" s="65" customFormat="1" ht="13">
      <c r="A26" s="457"/>
      <c r="B26" s="450" t="s">
        <v>114</v>
      </c>
      <c r="C26" s="104">
        <f t="shared" si="0"/>
        <v>1002.48</v>
      </c>
      <c r="D26" s="99">
        <v>967.17</v>
      </c>
      <c r="E26" s="99">
        <v>35.31</v>
      </c>
      <c r="F26" s="99">
        <v>759.6</v>
      </c>
      <c r="G26" s="114">
        <f t="shared" si="2"/>
        <v>0.7577208522863299</v>
      </c>
    </row>
    <row r="27" spans="1:7" s="65" customFormat="1" ht="13">
      <c r="A27" s="457"/>
      <c r="B27" s="450" t="s">
        <v>115</v>
      </c>
      <c r="C27" s="104">
        <f t="shared" si="0"/>
        <v>1003.65</v>
      </c>
      <c r="D27" s="99">
        <v>968.25</v>
      </c>
      <c r="E27" s="99">
        <v>35.4</v>
      </c>
      <c r="F27" s="99">
        <v>759.4</v>
      </c>
      <c r="G27" s="114">
        <f t="shared" si="2"/>
        <v>0.75663827031335629</v>
      </c>
    </row>
    <row r="28" spans="1:7" s="65" customFormat="1" ht="13">
      <c r="A28" s="458"/>
      <c r="B28" s="452" t="s">
        <v>116</v>
      </c>
      <c r="C28" s="105">
        <f t="shared" si="0"/>
        <v>1689.98</v>
      </c>
      <c r="D28" s="102">
        <v>1654.46</v>
      </c>
      <c r="E28" s="102">
        <v>35.520000000000003</v>
      </c>
      <c r="F28" s="102">
        <v>1419.2</v>
      </c>
      <c r="G28" s="115">
        <f t="shared" si="2"/>
        <v>0.83977325175445861</v>
      </c>
    </row>
    <row r="29" spans="1:7" s="65" customFormat="1" ht="14.5">
      <c r="A29" s="461">
        <v>2012</v>
      </c>
      <c r="B29" s="453" t="s">
        <v>105</v>
      </c>
      <c r="C29" s="104">
        <f t="shared" si="0"/>
        <v>997.84</v>
      </c>
      <c r="D29" s="99">
        <v>962.2</v>
      </c>
      <c r="E29" s="99">
        <v>35.64</v>
      </c>
      <c r="F29" s="95">
        <v>767.4</v>
      </c>
      <c r="G29" s="116">
        <f t="shared" si="2"/>
        <v>0.76906117213180469</v>
      </c>
    </row>
    <row r="30" spans="1:7" s="65" customFormat="1" ht="13">
      <c r="A30" s="457"/>
      <c r="B30" s="450" t="s">
        <v>106</v>
      </c>
      <c r="C30" s="104">
        <f t="shared" si="0"/>
        <v>1125.7</v>
      </c>
      <c r="D30" s="99">
        <v>1089.9000000000001</v>
      </c>
      <c r="E30" s="99">
        <v>35.799999999999997</v>
      </c>
      <c r="F30" s="99">
        <v>863.3</v>
      </c>
      <c r="G30" s="114">
        <f t="shared" si="2"/>
        <v>0.76690059518521803</v>
      </c>
    </row>
    <row r="31" spans="1:7" s="65" customFormat="1" ht="13">
      <c r="A31" s="457"/>
      <c r="B31" s="450" t="s">
        <v>107</v>
      </c>
      <c r="C31" s="104">
        <f t="shared" si="0"/>
        <v>1238.8500000000001</v>
      </c>
      <c r="D31" s="99">
        <v>1202.93</v>
      </c>
      <c r="E31" s="99">
        <v>35.92</v>
      </c>
      <c r="F31" s="99">
        <v>865.4</v>
      </c>
      <c r="G31" s="114">
        <f t="shared" si="2"/>
        <v>0.69855107559430107</v>
      </c>
    </row>
    <row r="32" spans="1:7" s="65" customFormat="1" ht="13">
      <c r="A32" s="457"/>
      <c r="B32" s="450" t="s">
        <v>108</v>
      </c>
      <c r="C32" s="104">
        <f t="shared" si="0"/>
        <v>2346.59</v>
      </c>
      <c r="D32" s="99">
        <v>2310.56</v>
      </c>
      <c r="E32" s="99">
        <v>36.03</v>
      </c>
      <c r="F32" s="99">
        <v>1608.8</v>
      </c>
      <c r="G32" s="114">
        <f t="shared" si="2"/>
        <v>0.68559058037407461</v>
      </c>
    </row>
    <row r="33" spans="1:7" s="65" customFormat="1" ht="13">
      <c r="A33" s="457"/>
      <c r="B33" s="450" t="s">
        <v>109</v>
      </c>
      <c r="C33" s="104">
        <f t="shared" si="0"/>
        <v>2062.02</v>
      </c>
      <c r="D33" s="99">
        <v>2025.84</v>
      </c>
      <c r="E33" s="99">
        <v>36.18</v>
      </c>
      <c r="F33" s="99">
        <v>1122.2</v>
      </c>
      <c r="G33" s="114">
        <f t="shared" si="2"/>
        <v>0.54422362537705748</v>
      </c>
    </row>
    <row r="34" spans="1:7" s="65" customFormat="1" ht="13">
      <c r="A34" s="457"/>
      <c r="B34" s="450" t="s">
        <v>110</v>
      </c>
      <c r="C34" s="104">
        <f t="shared" si="0"/>
        <v>2125.1799999999998</v>
      </c>
      <c r="D34" s="99">
        <v>2088.91</v>
      </c>
      <c r="E34" s="99">
        <v>36.270000000000003</v>
      </c>
      <c r="F34" s="99">
        <v>1153.4000000000001</v>
      </c>
      <c r="G34" s="114">
        <f t="shared" si="2"/>
        <v>0.54273049812251206</v>
      </c>
    </row>
    <row r="35" spans="1:7" s="65" customFormat="1" ht="13">
      <c r="A35" s="457"/>
      <c r="B35" s="450" t="s">
        <v>111</v>
      </c>
      <c r="C35" s="104">
        <f t="shared" si="0"/>
        <v>2109.14</v>
      </c>
      <c r="D35" s="99">
        <v>2072.7399999999998</v>
      </c>
      <c r="E35" s="99">
        <v>36.4</v>
      </c>
      <c r="F35" s="99">
        <v>1065.4000000000001</v>
      </c>
      <c r="G35" s="114">
        <f t="shared" si="2"/>
        <v>0.50513479427634023</v>
      </c>
    </row>
    <row r="36" spans="1:7" s="65" customFormat="1" ht="13">
      <c r="A36" s="457"/>
      <c r="B36" s="450" t="s">
        <v>112</v>
      </c>
      <c r="C36" s="104">
        <f t="shared" si="0"/>
        <v>1848.68</v>
      </c>
      <c r="D36" s="99">
        <v>1812.19</v>
      </c>
      <c r="E36" s="99">
        <v>36.49</v>
      </c>
      <c r="F36" s="99">
        <v>1068.9000000000001</v>
      </c>
      <c r="G36" s="114">
        <f t="shared" si="2"/>
        <v>0.57819633468204346</v>
      </c>
    </row>
    <row r="37" spans="1:7" s="65" customFormat="1" ht="13">
      <c r="A37" s="457"/>
      <c r="B37" s="450" t="s">
        <v>113</v>
      </c>
      <c r="C37" s="104">
        <f t="shared" si="0"/>
        <v>1623.72</v>
      </c>
      <c r="D37" s="99">
        <v>1587.05</v>
      </c>
      <c r="E37" s="99">
        <v>36.67</v>
      </c>
      <c r="F37" s="99">
        <v>951.3</v>
      </c>
      <c r="G37" s="114">
        <f t="shared" si="2"/>
        <v>0.58587687532333155</v>
      </c>
    </row>
    <row r="38" spans="1:7" s="65" customFormat="1" ht="13">
      <c r="A38" s="457"/>
      <c r="B38" s="450" t="s">
        <v>114</v>
      </c>
      <c r="C38" s="104">
        <f t="shared" si="0"/>
        <v>1610.3899999999999</v>
      </c>
      <c r="D38" s="99">
        <v>1573.6</v>
      </c>
      <c r="E38" s="99">
        <v>36.79</v>
      </c>
      <c r="F38" s="99">
        <v>930.1</v>
      </c>
      <c r="G38" s="114">
        <f t="shared" si="2"/>
        <v>0.57756195704146207</v>
      </c>
    </row>
    <row r="39" spans="1:7" s="65" customFormat="1" ht="13">
      <c r="A39" s="457"/>
      <c r="B39" s="450" t="s">
        <v>115</v>
      </c>
      <c r="C39" s="104">
        <f t="shared" si="0"/>
        <v>1499.2</v>
      </c>
      <c r="D39" s="99">
        <v>1462.27</v>
      </c>
      <c r="E39" s="99">
        <v>36.93</v>
      </c>
      <c r="F39" s="99">
        <v>830</v>
      </c>
      <c r="G39" s="114">
        <f t="shared" si="2"/>
        <v>0.55362860192102448</v>
      </c>
    </row>
    <row r="40" spans="1:7" s="65" customFormat="1" ht="13">
      <c r="A40" s="458"/>
      <c r="B40" s="452" t="s">
        <v>116</v>
      </c>
      <c r="C40" s="105">
        <f t="shared" si="0"/>
        <v>1627.05</v>
      </c>
      <c r="D40" s="102">
        <v>1589.98</v>
      </c>
      <c r="E40" s="102">
        <v>37.07</v>
      </c>
      <c r="F40" s="102">
        <v>927.6</v>
      </c>
      <c r="G40" s="115">
        <f t="shared" si="2"/>
        <v>0.5701115515810824</v>
      </c>
    </row>
    <row r="41" spans="1:7" s="65" customFormat="1" ht="14.5">
      <c r="A41" s="461">
        <v>2013</v>
      </c>
      <c r="B41" s="453" t="s">
        <v>105</v>
      </c>
      <c r="C41" s="104">
        <f t="shared" si="0"/>
        <v>1621.21</v>
      </c>
      <c r="D41" s="99">
        <v>1583.99</v>
      </c>
      <c r="E41" s="99">
        <v>37.22</v>
      </c>
      <c r="F41" s="103">
        <v>851.7</v>
      </c>
      <c r="G41" s="117">
        <f t="shared" si="2"/>
        <v>0.52534835092307597</v>
      </c>
    </row>
    <row r="42" spans="1:7" s="65" customFormat="1" ht="13">
      <c r="A42" s="457"/>
      <c r="B42" s="450" t="s">
        <v>106</v>
      </c>
      <c r="C42" s="104">
        <f t="shared" si="0"/>
        <v>1127.83</v>
      </c>
      <c r="D42" s="99">
        <v>1090.52</v>
      </c>
      <c r="E42" s="99">
        <v>37.31</v>
      </c>
      <c r="F42" s="104">
        <v>935.5</v>
      </c>
      <c r="G42" s="118">
        <f t="shared" si="2"/>
        <v>0.82946898025411642</v>
      </c>
    </row>
    <row r="43" spans="1:7" s="65" customFormat="1" ht="13">
      <c r="A43" s="457"/>
      <c r="B43" s="450" t="s">
        <v>107</v>
      </c>
      <c r="C43" s="104">
        <f t="shared" si="0"/>
        <v>1129.07</v>
      </c>
      <c r="D43" s="99">
        <v>1091.58</v>
      </c>
      <c r="E43" s="99">
        <v>37.49</v>
      </c>
      <c r="F43" s="104">
        <v>919.3</v>
      </c>
      <c r="G43" s="118">
        <f t="shared" si="2"/>
        <v>0.81420992498250777</v>
      </c>
    </row>
    <row r="44" spans="1:7" s="65" customFormat="1" ht="13">
      <c r="A44" s="457"/>
      <c r="B44" s="450" t="s">
        <v>108</v>
      </c>
      <c r="C44" s="104">
        <f t="shared" si="0"/>
        <v>1129.5700000000002</v>
      </c>
      <c r="D44" s="99">
        <v>1091.9000000000001</v>
      </c>
      <c r="E44" s="99">
        <v>37.67</v>
      </c>
      <c r="F44" s="104">
        <v>912</v>
      </c>
      <c r="G44" s="118">
        <f t="shared" si="2"/>
        <v>0.80738688173375694</v>
      </c>
    </row>
    <row r="45" spans="1:7" s="65" customFormat="1" ht="13">
      <c r="A45" s="457"/>
      <c r="B45" s="450" t="s">
        <v>109</v>
      </c>
      <c r="C45" s="104">
        <f t="shared" si="0"/>
        <v>1146.26</v>
      </c>
      <c r="D45" s="99">
        <v>1108.45</v>
      </c>
      <c r="E45" s="99">
        <v>37.81</v>
      </c>
      <c r="F45" s="104">
        <v>949.5</v>
      </c>
      <c r="G45" s="118">
        <f t="shared" si="2"/>
        <v>0.82834609948877214</v>
      </c>
    </row>
    <row r="46" spans="1:7" s="65" customFormat="1" ht="13">
      <c r="A46" s="457"/>
      <c r="B46" s="450" t="s">
        <v>110</v>
      </c>
      <c r="C46" s="104">
        <f t="shared" si="0"/>
        <v>1140.3900000000001</v>
      </c>
      <c r="D46" s="99">
        <v>1102.42</v>
      </c>
      <c r="E46" s="99">
        <v>37.97</v>
      </c>
      <c r="F46" s="104">
        <v>943.8</v>
      </c>
      <c r="G46" s="118">
        <f t="shared" si="2"/>
        <v>0.82761160655565191</v>
      </c>
    </row>
    <row r="47" spans="1:7" s="65" customFormat="1" ht="13">
      <c r="A47" s="457"/>
      <c r="B47" s="450" t="s">
        <v>117</v>
      </c>
      <c r="C47" s="104">
        <f t="shared" si="0"/>
        <v>1161.6299999999999</v>
      </c>
      <c r="D47" s="99">
        <v>1123.56</v>
      </c>
      <c r="E47" s="99">
        <v>38.07</v>
      </c>
      <c r="F47" s="104">
        <v>918.6</v>
      </c>
      <c r="G47" s="118">
        <f t="shared" si="2"/>
        <v>0.79078536194829685</v>
      </c>
    </row>
    <row r="48" spans="1:7" s="65" customFormat="1" ht="13">
      <c r="A48" s="457"/>
      <c r="B48" s="450" t="s">
        <v>112</v>
      </c>
      <c r="C48" s="104">
        <f t="shared" si="0"/>
        <v>1093.4699999999998</v>
      </c>
      <c r="D48" s="99">
        <v>1055.3499999999999</v>
      </c>
      <c r="E48" s="99">
        <v>38.119999999999997</v>
      </c>
      <c r="F48" s="104">
        <v>862.3</v>
      </c>
      <c r="G48" s="118">
        <f t="shared" si="2"/>
        <v>0.78859045058392097</v>
      </c>
    </row>
    <row r="49" spans="1:7" s="65" customFormat="1" ht="13">
      <c r="A49" s="457"/>
      <c r="B49" s="450" t="s">
        <v>113</v>
      </c>
      <c r="C49" s="104">
        <f t="shared" si="0"/>
        <v>1095.92</v>
      </c>
      <c r="D49" s="99">
        <v>1057.67</v>
      </c>
      <c r="E49" s="99">
        <v>38.25</v>
      </c>
      <c r="F49" s="104">
        <v>867.6</v>
      </c>
      <c r="G49" s="118">
        <f t="shared" si="2"/>
        <v>0.79166362508212273</v>
      </c>
    </row>
    <row r="50" spans="1:7" s="65" customFormat="1" ht="13">
      <c r="A50" s="457"/>
      <c r="B50" s="450" t="s">
        <v>114</v>
      </c>
      <c r="C50" s="104">
        <f t="shared" si="0"/>
        <v>1090.97</v>
      </c>
      <c r="D50" s="99">
        <v>1052.57</v>
      </c>
      <c r="E50" s="99">
        <v>38.4</v>
      </c>
      <c r="F50" s="104">
        <v>856.1</v>
      </c>
      <c r="G50" s="118">
        <f t="shared" si="2"/>
        <v>0.78471452010596077</v>
      </c>
    </row>
    <row r="51" spans="1:7" s="65" customFormat="1" ht="13">
      <c r="A51" s="457"/>
      <c r="B51" s="450" t="s">
        <v>115</v>
      </c>
      <c r="C51" s="104">
        <f t="shared" si="0"/>
        <v>1106.0899999999999</v>
      </c>
      <c r="D51" s="99">
        <v>1067.6099999999999</v>
      </c>
      <c r="E51" s="99">
        <v>38.479999999999997</v>
      </c>
      <c r="F51" s="104">
        <v>897</v>
      </c>
      <c r="G51" s="118">
        <f t="shared" si="2"/>
        <v>0.81096474970391208</v>
      </c>
    </row>
    <row r="52" spans="1:7" s="65" customFormat="1" ht="13">
      <c r="A52" s="457"/>
      <c r="B52" s="450" t="s">
        <v>116</v>
      </c>
      <c r="C52" s="105">
        <f t="shared" si="0"/>
        <v>1219.74</v>
      </c>
      <c r="D52" s="102">
        <v>1181.1500000000001</v>
      </c>
      <c r="E52" s="102">
        <v>38.590000000000003</v>
      </c>
      <c r="F52" s="104">
        <v>958.5</v>
      </c>
      <c r="G52" s="118">
        <f t="shared" si="2"/>
        <v>0.78582320822470364</v>
      </c>
    </row>
    <row r="53" spans="1:7" s="65" customFormat="1" ht="14.5">
      <c r="A53" s="461">
        <v>2014</v>
      </c>
      <c r="B53" s="453" t="s">
        <v>105</v>
      </c>
      <c r="C53" s="104">
        <f t="shared" si="0"/>
        <v>1183.1200000000001</v>
      </c>
      <c r="D53" s="99">
        <v>1144.4000000000001</v>
      </c>
      <c r="E53" s="99">
        <v>38.72</v>
      </c>
      <c r="F53" s="107">
        <v>954.5</v>
      </c>
      <c r="G53" s="116">
        <f t="shared" si="2"/>
        <v>0.80676516329704506</v>
      </c>
    </row>
    <row r="54" spans="1:7" s="65" customFormat="1" ht="13">
      <c r="A54" s="457"/>
      <c r="B54" s="450" t="s">
        <v>106</v>
      </c>
      <c r="C54" s="104">
        <f t="shared" si="0"/>
        <v>1169.6999999999998</v>
      </c>
      <c r="D54" s="99">
        <v>1130.8499999999999</v>
      </c>
      <c r="E54" s="99">
        <v>38.85</v>
      </c>
      <c r="F54" s="109">
        <v>942.5</v>
      </c>
      <c r="G54" s="114">
        <f t="shared" si="2"/>
        <v>0.80576216123792443</v>
      </c>
    </row>
    <row r="55" spans="1:7" s="65" customFormat="1" ht="13">
      <c r="A55" s="457"/>
      <c r="B55" s="450" t="s">
        <v>107</v>
      </c>
      <c r="C55" s="104">
        <f t="shared" si="0"/>
        <v>1165.99</v>
      </c>
      <c r="D55" s="99">
        <v>1126.97</v>
      </c>
      <c r="E55" s="99">
        <v>39.020000000000003</v>
      </c>
      <c r="F55" s="109">
        <v>939.3</v>
      </c>
      <c r="G55" s="114">
        <f t="shared" si="2"/>
        <v>0.80558152299762431</v>
      </c>
    </row>
    <row r="56" spans="1:7" s="65" customFormat="1" ht="13">
      <c r="A56" s="457"/>
      <c r="B56" s="450" t="s">
        <v>108</v>
      </c>
      <c r="C56" s="104">
        <f t="shared" si="0"/>
        <v>1145.43</v>
      </c>
      <c r="D56" s="99">
        <v>1106.27</v>
      </c>
      <c r="E56" s="99">
        <v>39.159999999999997</v>
      </c>
      <c r="F56" s="109">
        <v>928</v>
      </c>
      <c r="G56" s="114">
        <f t="shared" si="2"/>
        <v>0.81017609107496746</v>
      </c>
    </row>
    <row r="57" spans="1:7" s="65" customFormat="1" ht="13">
      <c r="A57" s="457"/>
      <c r="B57" s="450" t="s">
        <v>109</v>
      </c>
      <c r="C57" s="104">
        <f t="shared" si="0"/>
        <v>1156.6199999999999</v>
      </c>
      <c r="D57" s="99">
        <v>1117.3699999999999</v>
      </c>
      <c r="E57" s="99">
        <v>39.25</v>
      </c>
      <c r="F57" s="109">
        <v>956.6</v>
      </c>
      <c r="G57" s="114">
        <f t="shared" si="2"/>
        <v>0.82706506890767939</v>
      </c>
    </row>
    <row r="58" spans="1:7" s="65" customFormat="1" ht="13">
      <c r="A58" s="457"/>
      <c r="B58" s="450" t="s">
        <v>110</v>
      </c>
      <c r="C58" s="104">
        <f t="shared" si="0"/>
        <v>1202.1200000000001</v>
      </c>
      <c r="D58" s="99">
        <v>1162.73</v>
      </c>
      <c r="E58" s="99">
        <v>39.39</v>
      </c>
      <c r="F58" s="109">
        <v>1000.4</v>
      </c>
      <c r="G58" s="114">
        <f t="shared" si="2"/>
        <v>0.83219645293315136</v>
      </c>
    </row>
    <row r="59" spans="1:7" s="65" customFormat="1" ht="13">
      <c r="A59" s="457"/>
      <c r="B59" s="450" t="s">
        <v>117</v>
      </c>
      <c r="C59" s="104">
        <f t="shared" si="0"/>
        <v>1245.45</v>
      </c>
      <c r="D59" s="99">
        <v>1206.03</v>
      </c>
      <c r="E59" s="99">
        <v>39.42</v>
      </c>
      <c r="F59" s="109">
        <v>1010</v>
      </c>
      <c r="G59" s="114">
        <f t="shared" si="2"/>
        <v>0.81095186478782766</v>
      </c>
    </row>
    <row r="60" spans="1:7" s="65" customFormat="1" ht="13">
      <c r="A60" s="457"/>
      <c r="B60" s="450" t="s">
        <v>112</v>
      </c>
      <c r="C60" s="104">
        <f t="shared" si="0"/>
        <v>1165.5</v>
      </c>
      <c r="D60" s="99">
        <v>1125.9100000000001</v>
      </c>
      <c r="E60" s="99">
        <v>39.590000000000003</v>
      </c>
      <c r="F60" s="109">
        <v>956.2</v>
      </c>
      <c r="G60" s="114">
        <f t="shared" si="2"/>
        <v>0.8204204204204204</v>
      </c>
    </row>
    <row r="61" spans="1:7" s="65" customFormat="1" ht="13">
      <c r="A61" s="457"/>
      <c r="B61" s="450" t="s">
        <v>113</v>
      </c>
      <c r="C61" s="104">
        <f t="shared" si="0"/>
        <v>1186.73</v>
      </c>
      <c r="D61" s="99">
        <v>1146.99</v>
      </c>
      <c r="E61" s="99">
        <v>39.74</v>
      </c>
      <c r="F61" s="109">
        <v>951.9</v>
      </c>
      <c r="G61" s="114">
        <f t="shared" si="2"/>
        <v>0.8021201115670793</v>
      </c>
    </row>
    <row r="62" spans="1:7" s="65" customFormat="1" ht="13">
      <c r="A62" s="457"/>
      <c r="B62" s="450" t="s">
        <v>114</v>
      </c>
      <c r="C62" s="104">
        <f t="shared" si="0"/>
        <v>1155.6499999999999</v>
      </c>
      <c r="D62" s="99">
        <v>1115.83</v>
      </c>
      <c r="E62" s="99">
        <v>39.82</v>
      </c>
      <c r="F62" s="109">
        <v>933.1</v>
      </c>
      <c r="G62" s="114">
        <f t="shared" si="2"/>
        <v>0.80742439319863291</v>
      </c>
    </row>
    <row r="63" spans="1:7" s="65" customFormat="1" ht="13">
      <c r="A63" s="457"/>
      <c r="B63" s="450" t="s">
        <v>115</v>
      </c>
      <c r="C63" s="104">
        <f t="shared" si="0"/>
        <v>1148.4000000000001</v>
      </c>
      <c r="D63" s="99">
        <v>1108.46</v>
      </c>
      <c r="E63" s="99">
        <v>39.94</v>
      </c>
      <c r="F63" s="109">
        <v>957.4</v>
      </c>
      <c r="G63" s="114">
        <f t="shared" si="2"/>
        <v>0.83368164402647149</v>
      </c>
    </row>
    <row r="64" spans="1:7" s="65" customFormat="1" ht="13">
      <c r="A64" s="458"/>
      <c r="B64" s="450" t="s">
        <v>116</v>
      </c>
      <c r="C64" s="105">
        <f t="shared" si="0"/>
        <v>1271.71</v>
      </c>
      <c r="D64" s="102">
        <v>1231.68</v>
      </c>
      <c r="E64" s="102">
        <v>40.03</v>
      </c>
      <c r="F64" s="111">
        <v>997.8</v>
      </c>
      <c r="G64" s="115">
        <f t="shared" si="2"/>
        <v>0.78461284412326704</v>
      </c>
    </row>
    <row r="65" spans="1:7" s="65" customFormat="1" ht="13.5" customHeight="1">
      <c r="A65" s="461">
        <v>2015</v>
      </c>
      <c r="B65" s="453" t="s">
        <v>105</v>
      </c>
      <c r="C65" s="104">
        <f t="shared" si="0"/>
        <v>1183.99</v>
      </c>
      <c r="D65" s="99">
        <v>1143.81</v>
      </c>
      <c r="E65" s="99">
        <v>40.18</v>
      </c>
      <c r="F65" s="109">
        <v>948.1</v>
      </c>
      <c r="G65" s="116">
        <f t="shared" si="2"/>
        <v>0.80076689836907411</v>
      </c>
    </row>
    <row r="66" spans="1:7" s="65" customFormat="1" ht="13">
      <c r="A66" s="459"/>
      <c r="B66" s="450" t="s">
        <v>106</v>
      </c>
      <c r="C66" s="104">
        <f t="shared" si="0"/>
        <v>1228.76</v>
      </c>
      <c r="D66" s="99">
        <v>1188.51</v>
      </c>
      <c r="E66" s="99">
        <v>40.25</v>
      </c>
      <c r="F66" s="99">
        <v>1011.7</v>
      </c>
      <c r="G66" s="114">
        <f t="shared" si="2"/>
        <v>0.82335036947817319</v>
      </c>
    </row>
    <row r="67" spans="1:7" s="65" customFormat="1" ht="13">
      <c r="A67" s="459"/>
      <c r="B67" s="450" t="s">
        <v>107</v>
      </c>
      <c r="C67" s="104">
        <f t="shared" si="0"/>
        <v>1204.8800000000001</v>
      </c>
      <c r="D67" s="99">
        <v>1164.47</v>
      </c>
      <c r="E67" s="99">
        <v>40.409999999999997</v>
      </c>
      <c r="F67" s="109">
        <v>976</v>
      </c>
      <c r="G67" s="114">
        <f t="shared" si="2"/>
        <v>0.81003917402562908</v>
      </c>
    </row>
    <row r="68" spans="1:7" s="65" customFormat="1" ht="13">
      <c r="A68" s="459"/>
      <c r="B68" s="450" t="s">
        <v>108</v>
      </c>
      <c r="C68" s="104">
        <f t="shared" si="0"/>
        <v>1193.3799999999999</v>
      </c>
      <c r="D68" s="99">
        <v>1152.79</v>
      </c>
      <c r="E68" s="99">
        <v>40.590000000000003</v>
      </c>
      <c r="F68" s="99">
        <v>956.2</v>
      </c>
      <c r="G68" s="114">
        <f t="shared" si="2"/>
        <v>0.80125358226214627</v>
      </c>
    </row>
    <row r="69" spans="1:7" s="65" customFormat="1" ht="13">
      <c r="A69" s="459"/>
      <c r="B69" s="450" t="s">
        <v>109</v>
      </c>
      <c r="C69" s="104">
        <f t="shared" ref="C69:C103" si="3">D69+E69</f>
        <v>1225.28</v>
      </c>
      <c r="D69" s="99">
        <v>1184.58</v>
      </c>
      <c r="E69" s="99">
        <v>40.700000000000003</v>
      </c>
      <c r="F69" s="99">
        <v>1000.7</v>
      </c>
      <c r="G69" s="114">
        <f t="shared" si="2"/>
        <v>0.81671128231914347</v>
      </c>
    </row>
    <row r="70" spans="1:7" s="65" customFormat="1" ht="13">
      <c r="A70" s="459"/>
      <c r="B70" s="450" t="s">
        <v>110</v>
      </c>
      <c r="C70" s="104">
        <f t="shared" si="3"/>
        <v>1234.6500000000001</v>
      </c>
      <c r="D70" s="99">
        <v>1193.8900000000001</v>
      </c>
      <c r="E70" s="99">
        <v>40.76</v>
      </c>
      <c r="F70" s="99">
        <v>988</v>
      </c>
      <c r="G70" s="114">
        <f t="shared" si="2"/>
        <v>0.80022678491880284</v>
      </c>
    </row>
    <row r="71" spans="1:7" s="65" customFormat="1" ht="13">
      <c r="A71" s="459"/>
      <c r="B71" s="450" t="s">
        <v>117</v>
      </c>
      <c r="C71" s="104">
        <f t="shared" si="3"/>
        <v>1214.3999999999999</v>
      </c>
      <c r="D71" s="99">
        <v>1173.57</v>
      </c>
      <c r="E71" s="99">
        <v>40.83</v>
      </c>
      <c r="F71" s="99">
        <v>967.7</v>
      </c>
      <c r="G71" s="114">
        <f t="shared" si="2"/>
        <v>0.79685441370223986</v>
      </c>
    </row>
    <row r="72" spans="1:7" s="65" customFormat="1" ht="13">
      <c r="A72" s="459"/>
      <c r="B72" s="450" t="s">
        <v>112</v>
      </c>
      <c r="C72" s="104">
        <f t="shared" si="3"/>
        <v>1203.98</v>
      </c>
      <c r="D72" s="99">
        <v>1163.03</v>
      </c>
      <c r="E72" s="99">
        <v>40.950000000000003</v>
      </c>
      <c r="F72" s="99">
        <v>973.9</v>
      </c>
      <c r="G72" s="114">
        <f t="shared" si="2"/>
        <v>0.80890048007441984</v>
      </c>
    </row>
    <row r="73" spans="1:7" s="65" customFormat="1" ht="13">
      <c r="A73" s="459"/>
      <c r="B73" s="450" t="s">
        <v>113</v>
      </c>
      <c r="C73" s="104">
        <f t="shared" si="3"/>
        <v>1193.3699999999999</v>
      </c>
      <c r="D73" s="99">
        <v>1152.31</v>
      </c>
      <c r="E73" s="99">
        <v>41.06</v>
      </c>
      <c r="F73" s="99">
        <v>947.8</v>
      </c>
      <c r="G73" s="114">
        <f t="shared" si="2"/>
        <v>0.79422140660482499</v>
      </c>
    </row>
    <row r="74" spans="1:7" s="65" customFormat="1" ht="13">
      <c r="A74" s="459"/>
      <c r="B74" s="450" t="s">
        <v>114</v>
      </c>
      <c r="C74" s="104">
        <f t="shared" si="3"/>
        <v>1203.5</v>
      </c>
      <c r="D74" s="99">
        <v>1162.3499999999999</v>
      </c>
      <c r="E74" s="99">
        <v>41.15</v>
      </c>
      <c r="F74" s="99">
        <v>964.9</v>
      </c>
      <c r="G74" s="114">
        <f t="shared" si="2"/>
        <v>0.80174491067719156</v>
      </c>
    </row>
    <row r="75" spans="1:7" s="65" customFormat="1" ht="13">
      <c r="A75" s="459"/>
      <c r="B75" s="450" t="s">
        <v>115</v>
      </c>
      <c r="C75" s="104">
        <f t="shared" si="3"/>
        <v>1237.3900000000001</v>
      </c>
      <c r="D75" s="99">
        <v>1196.1600000000001</v>
      </c>
      <c r="E75" s="99">
        <v>41.23</v>
      </c>
      <c r="F75" s="99">
        <v>972.9</v>
      </c>
      <c r="G75" s="114">
        <f t="shared" si="2"/>
        <v>0.78625170722246007</v>
      </c>
    </row>
    <row r="76" spans="1:7" s="65" customFormat="1" ht="13">
      <c r="A76" s="459"/>
      <c r="B76" s="450" t="s">
        <v>116</v>
      </c>
      <c r="C76" s="105">
        <f t="shared" si="3"/>
        <v>1321.95</v>
      </c>
      <c r="D76" s="102">
        <v>1280.6600000000001</v>
      </c>
      <c r="E76" s="102">
        <v>41.29</v>
      </c>
      <c r="F76" s="99">
        <v>1033.0999999999999</v>
      </c>
      <c r="G76" s="114">
        <f t="shared" si="2"/>
        <v>0.78149703090131994</v>
      </c>
    </row>
    <row r="77" spans="1:7" s="65" customFormat="1" ht="14.5">
      <c r="A77" s="461">
        <v>2016</v>
      </c>
      <c r="B77" s="453" t="s">
        <v>105</v>
      </c>
      <c r="C77" s="104">
        <f t="shared" si="3"/>
        <v>1269.74</v>
      </c>
      <c r="D77" s="99">
        <v>1228.3800000000001</v>
      </c>
      <c r="E77" s="99">
        <v>41.36</v>
      </c>
      <c r="F77" s="107">
        <v>1011.64</v>
      </c>
      <c r="G77" s="116">
        <f>F77/C77</f>
        <v>0.79673003922062779</v>
      </c>
    </row>
    <row r="78" spans="1:7" s="65" customFormat="1" ht="13">
      <c r="A78" s="459"/>
      <c r="B78" s="450" t="s">
        <v>106</v>
      </c>
      <c r="C78" s="104">
        <f t="shared" si="3"/>
        <v>1275.56</v>
      </c>
      <c r="D78" s="99">
        <v>1234.0999999999999</v>
      </c>
      <c r="E78" s="99">
        <v>41.46</v>
      </c>
      <c r="F78" s="109">
        <v>1038.3399999999999</v>
      </c>
      <c r="G78" s="114">
        <f t="shared" ref="G78:G100" si="4">F78/C78</f>
        <v>0.81402678039449339</v>
      </c>
    </row>
    <row r="79" spans="1:7" s="65" customFormat="1" ht="13">
      <c r="A79" s="459"/>
      <c r="B79" s="450" t="s">
        <v>107</v>
      </c>
      <c r="C79" s="104">
        <f t="shared" si="3"/>
        <v>1285.3499999999999</v>
      </c>
      <c r="D79" s="99">
        <v>1243.8</v>
      </c>
      <c r="E79" s="99">
        <v>41.55</v>
      </c>
      <c r="F79" s="109">
        <v>1027.9000000000001</v>
      </c>
      <c r="G79" s="114">
        <f t="shared" si="4"/>
        <v>0.79970436067997053</v>
      </c>
    </row>
    <row r="80" spans="1:7" s="65" customFormat="1" ht="13">
      <c r="A80" s="459"/>
      <c r="B80" s="450" t="s">
        <v>108</v>
      </c>
      <c r="C80" s="104">
        <f t="shared" si="3"/>
        <v>1315.27</v>
      </c>
      <c r="D80" s="99">
        <v>1273.5999999999999</v>
      </c>
      <c r="E80" s="99">
        <v>41.67</v>
      </c>
      <c r="F80" s="109">
        <v>1063.28</v>
      </c>
      <c r="G80" s="114">
        <f t="shared" si="4"/>
        <v>0.80841196104221946</v>
      </c>
    </row>
    <row r="81" spans="1:7" s="65" customFormat="1" ht="13">
      <c r="A81" s="459"/>
      <c r="B81" s="450" t="s">
        <v>109</v>
      </c>
      <c r="C81" s="104">
        <f t="shared" si="3"/>
        <v>1317.85</v>
      </c>
      <c r="D81" s="99">
        <v>1276.07</v>
      </c>
      <c r="E81" s="99">
        <v>41.78</v>
      </c>
      <c r="F81" s="109">
        <v>1068.29</v>
      </c>
      <c r="G81" s="114">
        <f t="shared" si="4"/>
        <v>0.81063095192927881</v>
      </c>
    </row>
    <row r="82" spans="1:7" s="65" customFormat="1" ht="13">
      <c r="A82" s="459"/>
      <c r="B82" s="450" t="s">
        <v>110</v>
      </c>
      <c r="C82" s="104">
        <f t="shared" si="3"/>
        <v>1328.57</v>
      </c>
      <c r="D82" s="99">
        <v>1286.75</v>
      </c>
      <c r="E82" s="99">
        <v>41.82</v>
      </c>
      <c r="F82" s="109">
        <v>1033.3800000000001</v>
      </c>
      <c r="G82" s="114">
        <f t="shared" si="4"/>
        <v>0.77781373958466637</v>
      </c>
    </row>
    <row r="83" spans="1:7" s="65" customFormat="1" ht="13">
      <c r="A83" s="459"/>
      <c r="B83" s="450" t="s">
        <v>117</v>
      </c>
      <c r="C83" s="104">
        <f t="shared" si="3"/>
        <v>1302.1899999999998</v>
      </c>
      <c r="D83" s="99">
        <v>1260.32</v>
      </c>
      <c r="E83" s="99">
        <v>41.87</v>
      </c>
      <c r="F83" s="109">
        <v>1043.83</v>
      </c>
      <c r="G83" s="114">
        <f>F83/C83</f>
        <v>0.80159577327425346</v>
      </c>
    </row>
    <row r="84" spans="1:7" s="65" customFormat="1" ht="13">
      <c r="A84" s="459"/>
      <c r="B84" s="450" t="s">
        <v>112</v>
      </c>
      <c r="C84" s="104">
        <f t="shared" si="3"/>
        <v>1268.93</v>
      </c>
      <c r="D84" s="99">
        <v>1226.95</v>
      </c>
      <c r="E84" s="99">
        <v>41.98</v>
      </c>
      <c r="F84" s="109">
        <v>1019.87</v>
      </c>
      <c r="G84" s="114">
        <f>F84/C84</f>
        <v>0.80372439772091442</v>
      </c>
    </row>
    <row r="85" spans="1:7" s="65" customFormat="1" ht="13">
      <c r="A85" s="459"/>
      <c r="B85" s="450" t="s">
        <v>113</v>
      </c>
      <c r="C85" s="104">
        <f t="shared" si="3"/>
        <v>1282.71</v>
      </c>
      <c r="D85" s="99">
        <v>1240.6300000000001</v>
      </c>
      <c r="E85" s="99">
        <v>42.08</v>
      </c>
      <c r="F85" s="109">
        <v>1025.8</v>
      </c>
      <c r="G85" s="114">
        <f t="shared" si="4"/>
        <v>0.79971310740541501</v>
      </c>
    </row>
    <row r="86" spans="1:7" s="65" customFormat="1" ht="13">
      <c r="A86" s="459"/>
      <c r="B86" s="450" t="s">
        <v>114</v>
      </c>
      <c r="C86" s="104">
        <f t="shared" si="3"/>
        <v>1273.25</v>
      </c>
      <c r="D86" s="99">
        <v>1231.0999999999999</v>
      </c>
      <c r="E86" s="99">
        <v>42.15</v>
      </c>
      <c r="F86" s="109">
        <v>1033.5899999999999</v>
      </c>
      <c r="G86" s="114">
        <f t="shared" si="4"/>
        <v>0.81177302179461996</v>
      </c>
    </row>
    <row r="87" spans="1:7" s="65" customFormat="1" ht="13">
      <c r="A87" s="459"/>
      <c r="B87" s="450" t="s">
        <v>115</v>
      </c>
      <c r="C87" s="104">
        <f t="shared" si="3"/>
        <v>1273.93</v>
      </c>
      <c r="D87" s="99">
        <v>1231.73</v>
      </c>
      <c r="E87" s="99">
        <v>42.2</v>
      </c>
      <c r="F87" s="109">
        <v>1035.3399999999999</v>
      </c>
      <c r="G87" s="114">
        <f t="shared" si="4"/>
        <v>0.81271341439482536</v>
      </c>
    </row>
    <row r="88" spans="1:7" s="65" customFormat="1" ht="13">
      <c r="A88" s="460"/>
      <c r="B88" s="452" t="s">
        <v>116</v>
      </c>
      <c r="C88" s="105">
        <f t="shared" si="3"/>
        <v>1381.8400000000001</v>
      </c>
      <c r="D88" s="102">
        <v>1339.64</v>
      </c>
      <c r="E88" s="102">
        <v>42.2</v>
      </c>
      <c r="F88" s="111">
        <v>1092.92</v>
      </c>
      <c r="G88" s="115">
        <f t="shared" si="4"/>
        <v>0.79091645921380183</v>
      </c>
    </row>
    <row r="89" spans="1:7" s="65" customFormat="1" ht="14.5">
      <c r="A89" s="461">
        <v>2017</v>
      </c>
      <c r="B89" s="453" t="s">
        <v>105</v>
      </c>
      <c r="C89" s="103">
        <f t="shared" si="3"/>
        <v>1335.8</v>
      </c>
      <c r="D89" s="99">
        <v>1293.53</v>
      </c>
      <c r="E89" s="99">
        <v>42.27</v>
      </c>
      <c r="F89" s="107">
        <v>1068.95</v>
      </c>
      <c r="G89" s="116">
        <f>F89/C89</f>
        <v>0.80023207066926194</v>
      </c>
    </row>
    <row r="90" spans="1:7" s="65" customFormat="1" ht="13">
      <c r="A90" s="459"/>
      <c r="B90" s="450" t="s">
        <v>106</v>
      </c>
      <c r="C90" s="104">
        <f t="shared" si="3"/>
        <v>1282.99</v>
      </c>
      <c r="D90" s="99">
        <v>1240.6500000000001</v>
      </c>
      <c r="E90" s="99">
        <v>42.34</v>
      </c>
      <c r="F90" s="109">
        <v>1069.43</v>
      </c>
      <c r="G90" s="114">
        <f t="shared" si="4"/>
        <v>0.83354507829367341</v>
      </c>
    </row>
    <row r="91" spans="1:7" s="65" customFormat="1" ht="13">
      <c r="A91" s="459"/>
      <c r="B91" s="450" t="s">
        <v>107</v>
      </c>
      <c r="C91" s="104">
        <f t="shared" si="3"/>
        <v>1262.6500000000001</v>
      </c>
      <c r="D91" s="99">
        <v>1220.21</v>
      </c>
      <c r="E91" s="99">
        <v>42.44</v>
      </c>
      <c r="F91" s="109">
        <v>1003.6</v>
      </c>
      <c r="G91" s="114">
        <f t="shared" si="4"/>
        <v>0.79483625707836691</v>
      </c>
    </row>
    <row r="92" spans="1:7" s="65" customFormat="1" ht="13">
      <c r="A92" s="459"/>
      <c r="B92" s="450" t="s">
        <v>108</v>
      </c>
      <c r="C92" s="104">
        <f t="shared" si="3"/>
        <v>1220.5</v>
      </c>
      <c r="D92" s="99">
        <v>1178</v>
      </c>
      <c r="E92" s="99">
        <v>42.5</v>
      </c>
      <c r="F92" s="109">
        <v>953.79</v>
      </c>
      <c r="G92" s="114">
        <f t="shared" si="4"/>
        <v>0.78147480540761982</v>
      </c>
    </row>
    <row r="93" spans="1:7" s="65" customFormat="1" ht="13">
      <c r="A93" s="459"/>
      <c r="B93" s="450" t="s">
        <v>109</v>
      </c>
      <c r="C93" s="104">
        <f t="shared" si="3"/>
        <v>1235.04</v>
      </c>
      <c r="D93" s="99">
        <v>1192.46</v>
      </c>
      <c r="E93" s="99">
        <v>42.58</v>
      </c>
      <c r="F93" s="109">
        <v>1040.93</v>
      </c>
      <c r="G93" s="114">
        <f t="shared" si="4"/>
        <v>0.84283100142505518</v>
      </c>
    </row>
    <row r="94" spans="1:7" s="65" customFormat="1" ht="13">
      <c r="A94" s="459"/>
      <c r="B94" s="450" t="s">
        <v>110</v>
      </c>
      <c r="C94" s="104">
        <f t="shared" si="3"/>
        <v>1260.6599999999999</v>
      </c>
      <c r="D94" s="99">
        <v>1218.08</v>
      </c>
      <c r="E94" s="99">
        <v>42.58</v>
      </c>
      <c r="F94" s="109">
        <v>1026.03</v>
      </c>
      <c r="G94" s="114">
        <f t="shared" si="4"/>
        <v>0.81388320403598124</v>
      </c>
    </row>
    <row r="95" spans="1:7" s="65" customFormat="1" ht="13">
      <c r="A95" s="459"/>
      <c r="B95" s="450" t="s">
        <v>117</v>
      </c>
      <c r="C95" s="104">
        <f t="shared" si="3"/>
        <v>1205.7900000000002</v>
      </c>
      <c r="D95" s="99">
        <v>1162.6300000000001</v>
      </c>
      <c r="E95" s="99">
        <v>43.16</v>
      </c>
      <c r="F95" s="109">
        <v>978.3</v>
      </c>
      <c r="G95" s="114">
        <f t="shared" si="4"/>
        <v>0.8113353071430347</v>
      </c>
    </row>
    <row r="96" spans="1:7" s="65" customFormat="1" ht="13">
      <c r="A96" s="459"/>
      <c r="B96" s="450" t="s">
        <v>112</v>
      </c>
      <c r="C96" s="104">
        <f t="shared" si="3"/>
        <v>1220.76</v>
      </c>
      <c r="D96" s="99">
        <v>1177.1400000000001</v>
      </c>
      <c r="E96" s="99">
        <v>43.62</v>
      </c>
      <c r="F96" s="109">
        <v>1002</v>
      </c>
      <c r="G96" s="114">
        <f t="shared" si="4"/>
        <v>0.82080015727907207</v>
      </c>
    </row>
    <row r="97" spans="1:7" s="65" customFormat="1" ht="13">
      <c r="A97" s="459"/>
      <c r="B97" s="450" t="s">
        <v>113</v>
      </c>
      <c r="C97" s="104">
        <f t="shared" si="3"/>
        <v>1211.08</v>
      </c>
      <c r="D97" s="99">
        <v>1167.32</v>
      </c>
      <c r="E97" s="99">
        <v>43.76</v>
      </c>
      <c r="F97" s="109">
        <v>993.26</v>
      </c>
      <c r="G97" s="114">
        <f t="shared" si="4"/>
        <v>0.82014400369917762</v>
      </c>
    </row>
    <row r="98" spans="1:7" s="65" customFormat="1" ht="13">
      <c r="A98" s="459"/>
      <c r="B98" s="450" t="s">
        <v>114</v>
      </c>
      <c r="C98" s="104">
        <f t="shared" si="3"/>
        <v>1198.3900000000001</v>
      </c>
      <c r="D98" s="99">
        <v>1154.47</v>
      </c>
      <c r="E98" s="99">
        <v>43.92</v>
      </c>
      <c r="F98" s="109">
        <v>976.93</v>
      </c>
      <c r="G98" s="114">
        <f t="shared" si="4"/>
        <v>0.81520206276754636</v>
      </c>
    </row>
    <row r="99" spans="1:7" s="65" customFormat="1" ht="13">
      <c r="A99" s="459"/>
      <c r="B99" s="450" t="s">
        <v>115</v>
      </c>
      <c r="C99" s="104">
        <f t="shared" si="3"/>
        <v>1182.55</v>
      </c>
      <c r="D99" s="99">
        <v>1137.8399999999999</v>
      </c>
      <c r="E99" s="99">
        <v>44.71</v>
      </c>
      <c r="F99" s="109">
        <v>985.48</v>
      </c>
      <c r="G99" s="114">
        <f t="shared" si="4"/>
        <v>0.83335165532112809</v>
      </c>
    </row>
    <row r="100" spans="1:7" s="65" customFormat="1" ht="13">
      <c r="A100" s="460"/>
      <c r="B100" s="452" t="s">
        <v>116</v>
      </c>
      <c r="C100" s="105">
        <f t="shared" si="3"/>
        <v>1263.05</v>
      </c>
      <c r="D100" s="102">
        <v>1217.8399999999999</v>
      </c>
      <c r="E100" s="102">
        <v>45.21</v>
      </c>
      <c r="F100" s="111">
        <v>1049.48</v>
      </c>
      <c r="G100" s="115">
        <f t="shared" si="4"/>
        <v>0.83090930683662567</v>
      </c>
    </row>
    <row r="101" spans="1:7" s="65" customFormat="1" ht="14.5">
      <c r="A101" s="461">
        <v>2018</v>
      </c>
      <c r="B101" s="453" t="s">
        <v>105</v>
      </c>
      <c r="C101" s="103">
        <f t="shared" si="3"/>
        <v>1185.99</v>
      </c>
      <c r="D101" s="99">
        <v>1140.71</v>
      </c>
      <c r="E101" s="99">
        <v>45.28</v>
      </c>
      <c r="F101" s="107">
        <v>957.23</v>
      </c>
      <c r="G101" s="116">
        <f>F101/C101</f>
        <v>0.80711473115287646</v>
      </c>
    </row>
    <row r="102" spans="1:7" s="65" customFormat="1" ht="13">
      <c r="A102" s="459"/>
      <c r="B102" s="450" t="s">
        <v>106</v>
      </c>
      <c r="C102" s="104">
        <f t="shared" si="3"/>
        <v>1214.0899999999999</v>
      </c>
      <c r="D102" s="99">
        <v>1168.78</v>
      </c>
      <c r="E102" s="99">
        <v>45.31</v>
      </c>
      <c r="F102" s="109">
        <v>1013.19</v>
      </c>
      <c r="G102" s="114">
        <f t="shared" ref="G102:G166" si="5">F102/C102</f>
        <v>0.83452627070480778</v>
      </c>
    </row>
    <row r="103" spans="1:7" s="65" customFormat="1" ht="13">
      <c r="A103" s="459"/>
      <c r="B103" s="450" t="s">
        <v>107</v>
      </c>
      <c r="C103" s="104">
        <f t="shared" si="3"/>
        <v>1225.46</v>
      </c>
      <c r="D103" s="99">
        <v>1180.05</v>
      </c>
      <c r="E103" s="99">
        <v>45.41</v>
      </c>
      <c r="F103" s="109">
        <v>1017.42</v>
      </c>
      <c r="G103" s="114">
        <f t="shared" si="5"/>
        <v>0.83023517699476113</v>
      </c>
    </row>
    <row r="104" spans="1:7" s="65" customFormat="1" ht="13">
      <c r="A104" s="459"/>
      <c r="B104" s="450" t="s">
        <v>108</v>
      </c>
      <c r="C104" s="104">
        <f>D104+E104</f>
        <v>1213.4299999999998</v>
      </c>
      <c r="D104" s="99">
        <v>1167.81</v>
      </c>
      <c r="E104" s="99">
        <v>45.62</v>
      </c>
      <c r="F104" s="99">
        <v>1010.49</v>
      </c>
      <c r="G104" s="118">
        <f t="shared" si="5"/>
        <v>0.83275508269945542</v>
      </c>
    </row>
    <row r="105" spans="1:7" s="65" customFormat="1" ht="13">
      <c r="A105" s="459"/>
      <c r="B105" s="450" t="s">
        <v>109</v>
      </c>
      <c r="C105" s="104">
        <f>D105+E105</f>
        <v>1233.8600000000001</v>
      </c>
      <c r="D105" s="99">
        <v>1188.18</v>
      </c>
      <c r="E105" s="99">
        <v>45.68</v>
      </c>
      <c r="F105" s="99">
        <v>1027.1099999999999</v>
      </c>
      <c r="G105" s="118">
        <f t="shared" si="5"/>
        <v>0.83243641904267895</v>
      </c>
    </row>
    <row r="106" spans="1:7" s="65" customFormat="1" ht="13">
      <c r="A106" s="459"/>
      <c r="B106" s="450" t="s">
        <v>110</v>
      </c>
      <c r="C106" s="104">
        <f t="shared" ref="C106:C169" si="6">D106+E106</f>
        <v>1194.3</v>
      </c>
      <c r="D106" s="99">
        <v>1148.57</v>
      </c>
      <c r="E106" s="99">
        <v>45.73</v>
      </c>
      <c r="F106" s="99">
        <v>989.31</v>
      </c>
      <c r="G106" s="118">
        <f t="shared" si="5"/>
        <v>0.82835970861592567</v>
      </c>
    </row>
    <row r="107" spans="1:7" s="65" customFormat="1" ht="13">
      <c r="A107" s="459"/>
      <c r="B107" s="450" t="s">
        <v>117</v>
      </c>
      <c r="C107" s="104">
        <f t="shared" si="6"/>
        <v>1181.56</v>
      </c>
      <c r="D107" s="99">
        <v>1135.76</v>
      </c>
      <c r="E107" s="99">
        <v>45.8</v>
      </c>
      <c r="F107" s="99">
        <v>970.23</v>
      </c>
      <c r="G107" s="114">
        <f t="shared" si="5"/>
        <v>0.82114323436812353</v>
      </c>
    </row>
    <row r="108" spans="1:7" s="65" customFormat="1" ht="13">
      <c r="A108" s="459"/>
      <c r="B108" s="450" t="s">
        <v>112</v>
      </c>
      <c r="C108" s="104">
        <f t="shared" si="6"/>
        <v>1159.19</v>
      </c>
      <c r="D108" s="99">
        <v>1113.3</v>
      </c>
      <c r="E108" s="99">
        <v>45.89</v>
      </c>
      <c r="F108" s="99">
        <v>971.87</v>
      </c>
      <c r="G108" s="114">
        <f t="shared" si="5"/>
        <v>0.83840440307456066</v>
      </c>
    </row>
    <row r="109" spans="1:7" s="65" customFormat="1" ht="13">
      <c r="A109" s="459"/>
      <c r="B109" s="450" t="s">
        <v>113</v>
      </c>
      <c r="C109" s="104">
        <f t="shared" si="6"/>
        <v>1157.51</v>
      </c>
      <c r="D109" s="99">
        <v>1111.57</v>
      </c>
      <c r="E109" s="99">
        <v>45.94</v>
      </c>
      <c r="F109" s="99">
        <v>958.74</v>
      </c>
      <c r="G109" s="114">
        <f t="shared" si="5"/>
        <v>0.82827794144327049</v>
      </c>
    </row>
    <row r="110" spans="1:7" s="65" customFormat="1" ht="13">
      <c r="A110" s="459"/>
      <c r="B110" s="450" t="s">
        <v>114</v>
      </c>
      <c r="C110" s="109">
        <f t="shared" si="6"/>
        <v>1158.43</v>
      </c>
      <c r="D110" s="99">
        <v>1112.3800000000001</v>
      </c>
      <c r="E110" s="99">
        <v>46.05</v>
      </c>
      <c r="F110" s="99">
        <v>963.49</v>
      </c>
      <c r="G110" s="118">
        <f t="shared" si="5"/>
        <v>0.83172051828768245</v>
      </c>
    </row>
    <row r="111" spans="1:7" s="65" customFormat="1" ht="13">
      <c r="A111" s="459"/>
      <c r="B111" s="450" t="s">
        <v>115</v>
      </c>
      <c r="C111" s="109">
        <f t="shared" si="6"/>
        <v>1166.08</v>
      </c>
      <c r="D111" s="99">
        <v>1119.96</v>
      </c>
      <c r="E111" s="99">
        <v>46.12</v>
      </c>
      <c r="F111" s="99">
        <v>964.9</v>
      </c>
      <c r="G111" s="118">
        <f t="shared" si="5"/>
        <v>0.8274732436882547</v>
      </c>
    </row>
    <row r="112" spans="1:7" s="65" customFormat="1" ht="13">
      <c r="A112" s="460"/>
      <c r="B112" s="452" t="s">
        <v>116</v>
      </c>
      <c r="C112" s="111">
        <f t="shared" si="6"/>
        <v>1248.79</v>
      </c>
      <c r="D112" s="102">
        <v>1202.5899999999999</v>
      </c>
      <c r="E112" s="102">
        <v>46.2</v>
      </c>
      <c r="F112" s="102">
        <v>1029.28</v>
      </c>
      <c r="G112" s="119">
        <f t="shared" si="5"/>
        <v>0.82422184674765175</v>
      </c>
    </row>
    <row r="113" spans="1:7" s="65" customFormat="1" ht="14.5">
      <c r="A113" s="461">
        <v>2019</v>
      </c>
      <c r="B113" s="453" t="s">
        <v>105</v>
      </c>
      <c r="C113" s="107">
        <f t="shared" si="6"/>
        <v>1218.94</v>
      </c>
      <c r="D113" s="95">
        <v>1172.6600000000001</v>
      </c>
      <c r="E113" s="95">
        <v>46.28</v>
      </c>
      <c r="F113" s="95">
        <v>1025.9100000000001</v>
      </c>
      <c r="G113" s="116">
        <f t="shared" si="5"/>
        <v>0.8416410980031831</v>
      </c>
    </row>
    <row r="114" spans="1:7" s="65" customFormat="1" ht="13">
      <c r="A114" s="459"/>
      <c r="B114" s="450" t="s">
        <v>106</v>
      </c>
      <c r="C114" s="109">
        <f t="shared" si="6"/>
        <v>1209.48</v>
      </c>
      <c r="D114" s="99">
        <v>1163.1400000000001</v>
      </c>
      <c r="E114" s="99">
        <v>46.34</v>
      </c>
      <c r="F114" s="99">
        <v>977.4</v>
      </c>
      <c r="G114" s="114">
        <f t="shared" si="5"/>
        <v>0.80811588451235239</v>
      </c>
    </row>
    <row r="115" spans="1:7" s="65" customFormat="1" ht="13">
      <c r="A115" s="459"/>
      <c r="B115" s="450" t="s">
        <v>107</v>
      </c>
      <c r="C115" s="109">
        <f t="shared" si="6"/>
        <v>1212.73</v>
      </c>
      <c r="D115" s="99">
        <v>1166.26</v>
      </c>
      <c r="E115" s="99">
        <v>46.47</v>
      </c>
      <c r="F115" s="99">
        <v>1022.24</v>
      </c>
      <c r="G115" s="114">
        <f t="shared" si="5"/>
        <v>0.842924641099008</v>
      </c>
    </row>
    <row r="116" spans="1:7" s="65" customFormat="1" ht="13">
      <c r="A116" s="459"/>
      <c r="B116" s="450" t="s">
        <v>108</v>
      </c>
      <c r="C116" s="109">
        <f t="shared" si="6"/>
        <v>1201</v>
      </c>
      <c r="D116" s="99">
        <v>1154.4100000000001</v>
      </c>
      <c r="E116" s="99">
        <v>46.59</v>
      </c>
      <c r="F116" s="99">
        <v>970.35</v>
      </c>
      <c r="G116" s="114">
        <f t="shared" si="5"/>
        <v>0.80795170691090756</v>
      </c>
    </row>
    <row r="117" spans="1:7" s="65" customFormat="1" ht="13">
      <c r="A117" s="459"/>
      <c r="B117" s="450" t="s">
        <v>109</v>
      </c>
      <c r="C117" s="109">
        <f t="shared" si="6"/>
        <v>1218.45</v>
      </c>
      <c r="D117" s="99">
        <v>1171.75</v>
      </c>
      <c r="E117" s="99">
        <v>46.7</v>
      </c>
      <c r="F117" s="99">
        <v>999.6</v>
      </c>
      <c r="G117" s="114">
        <f t="shared" si="5"/>
        <v>0.82038655669087779</v>
      </c>
    </row>
    <row r="118" spans="1:7" s="65" customFormat="1" ht="13">
      <c r="A118" s="459"/>
      <c r="B118" s="450" t="s">
        <v>110</v>
      </c>
      <c r="C118" s="109">
        <f t="shared" si="6"/>
        <v>1182.8</v>
      </c>
      <c r="D118" s="99">
        <v>1136.02</v>
      </c>
      <c r="E118" s="99">
        <v>46.78</v>
      </c>
      <c r="F118" s="99">
        <v>976.38</v>
      </c>
      <c r="G118" s="114">
        <f t="shared" si="5"/>
        <v>0.82548190733851878</v>
      </c>
    </row>
    <row r="119" spans="1:7" s="65" customFormat="1" ht="13">
      <c r="A119" s="459"/>
      <c r="B119" s="450" t="s">
        <v>117</v>
      </c>
      <c r="C119" s="109">
        <f t="shared" si="6"/>
        <v>1167.9000000000001</v>
      </c>
      <c r="D119" s="99">
        <v>1121.02</v>
      </c>
      <c r="E119" s="99">
        <v>46.88</v>
      </c>
      <c r="F119" s="99">
        <v>971.29</v>
      </c>
      <c r="G119" s="114">
        <f t="shared" si="5"/>
        <v>0.83165510745783022</v>
      </c>
    </row>
    <row r="120" spans="1:7" s="65" customFormat="1" ht="13">
      <c r="A120" s="459"/>
      <c r="B120" s="450" t="s">
        <v>112</v>
      </c>
      <c r="C120" s="109">
        <f t="shared" si="6"/>
        <v>1183.5900000000001</v>
      </c>
      <c r="D120" s="99">
        <v>1136.6500000000001</v>
      </c>
      <c r="E120" s="99">
        <v>46.94</v>
      </c>
      <c r="F120" s="99">
        <v>967.61</v>
      </c>
      <c r="G120" s="114">
        <f t="shared" si="5"/>
        <v>0.81752127003438679</v>
      </c>
    </row>
    <row r="121" spans="1:7" s="65" customFormat="1" ht="13">
      <c r="A121" s="459"/>
      <c r="B121" s="450" t="s">
        <v>113</v>
      </c>
      <c r="C121" s="104">
        <f t="shared" si="6"/>
        <v>1156.71</v>
      </c>
      <c r="D121" s="99">
        <v>1109.68</v>
      </c>
      <c r="E121" s="99">
        <v>47.03</v>
      </c>
      <c r="F121" s="99">
        <v>968.06</v>
      </c>
      <c r="G121" s="114">
        <f t="shared" si="5"/>
        <v>0.83690812736122266</v>
      </c>
    </row>
    <row r="122" spans="1:7" s="65" customFormat="1" ht="13">
      <c r="A122" s="459"/>
      <c r="B122" s="450" t="s">
        <v>114</v>
      </c>
      <c r="C122" s="104">
        <f t="shared" si="6"/>
        <v>1152.25</v>
      </c>
      <c r="D122" s="99">
        <v>1105.05</v>
      </c>
      <c r="E122" s="99">
        <v>47.2</v>
      </c>
      <c r="F122" s="99">
        <v>950.43</v>
      </c>
      <c r="G122" s="114">
        <f t="shared" si="5"/>
        <v>0.82484703840312423</v>
      </c>
    </row>
    <row r="123" spans="1:7" s="65" customFormat="1" ht="13">
      <c r="A123" s="459"/>
      <c r="B123" s="450" t="s">
        <v>115</v>
      </c>
      <c r="C123" s="104">
        <f t="shared" si="6"/>
        <v>1158.3499999999999</v>
      </c>
      <c r="D123" s="99">
        <v>1111.08</v>
      </c>
      <c r="E123" s="99">
        <v>47.27</v>
      </c>
      <c r="F123" s="99">
        <v>963.44</v>
      </c>
      <c r="G123" s="114">
        <f t="shared" si="5"/>
        <v>0.83173479518280324</v>
      </c>
    </row>
    <row r="124" spans="1:7" s="65" customFormat="1" ht="13">
      <c r="A124" s="460"/>
      <c r="B124" s="452" t="s">
        <v>116</v>
      </c>
      <c r="C124" s="105">
        <f t="shared" si="6"/>
        <v>1228.21</v>
      </c>
      <c r="D124" s="102">
        <v>1180.9100000000001</v>
      </c>
      <c r="E124" s="102">
        <v>47.3</v>
      </c>
      <c r="F124" s="102">
        <v>1009.81</v>
      </c>
      <c r="G124" s="115">
        <f t="shared" si="5"/>
        <v>0.82218024604912832</v>
      </c>
    </row>
    <row r="125" spans="1:7" s="65" customFormat="1" ht="14.5">
      <c r="A125" s="462">
        <v>2020</v>
      </c>
      <c r="B125" s="453" t="s">
        <v>105</v>
      </c>
      <c r="C125" s="103">
        <f t="shared" si="6"/>
        <v>1226.1550337050001</v>
      </c>
      <c r="D125" s="95">
        <v>1178.8833015</v>
      </c>
      <c r="E125" s="95">
        <v>47.271732204999999</v>
      </c>
      <c r="F125" s="95">
        <v>996.13398439499997</v>
      </c>
      <c r="G125" s="116">
        <f t="shared" si="5"/>
        <v>0.81240459567746581</v>
      </c>
    </row>
    <row r="126" spans="1:7" s="65" customFormat="1" ht="13">
      <c r="A126" s="459"/>
      <c r="B126" s="450" t="s">
        <v>106</v>
      </c>
      <c r="C126" s="104">
        <f t="shared" si="6"/>
        <v>1213.7304313550001</v>
      </c>
      <c r="D126" s="99">
        <v>1166.3993295</v>
      </c>
      <c r="E126" s="99">
        <v>47.331101855</v>
      </c>
      <c r="F126" s="99">
        <v>1026.954006295</v>
      </c>
      <c r="G126" s="114">
        <f t="shared" si="5"/>
        <v>0.84611374961449703</v>
      </c>
    </row>
    <row r="127" spans="1:7" s="65" customFormat="1" ht="13">
      <c r="A127" s="459"/>
      <c r="B127" s="450" t="s">
        <v>107</v>
      </c>
      <c r="C127" s="104">
        <f t="shared" si="6"/>
        <v>1231.7309025450002</v>
      </c>
      <c r="D127" s="99">
        <v>1184.3303195000001</v>
      </c>
      <c r="E127" s="99">
        <v>47.400583045000005</v>
      </c>
      <c r="F127" s="99">
        <v>1135.0637431549999</v>
      </c>
      <c r="G127" s="114">
        <f t="shared" si="5"/>
        <v>0.92151925457884776</v>
      </c>
    </row>
    <row r="128" spans="1:7" s="65" customFormat="1" ht="13">
      <c r="A128" s="459"/>
      <c r="B128" s="450" t="s">
        <v>108</v>
      </c>
      <c r="C128" s="104">
        <f t="shared" si="6"/>
        <v>1246.2998145050001</v>
      </c>
      <c r="D128" s="99">
        <v>1198.7667435000001</v>
      </c>
      <c r="E128" s="99">
        <v>47.533071004999996</v>
      </c>
      <c r="F128" s="99">
        <v>1077.5949786450001</v>
      </c>
      <c r="G128" s="114">
        <f t="shared" si="5"/>
        <v>0.86463543210346583</v>
      </c>
    </row>
    <row r="129" spans="1:7" s="65" customFormat="1" ht="13">
      <c r="A129" s="459"/>
      <c r="B129" s="450" t="s">
        <v>109</v>
      </c>
      <c r="C129" s="104">
        <f t="shared" si="6"/>
        <v>1290.584102945</v>
      </c>
      <c r="D129" s="99">
        <v>1243.0083145000001</v>
      </c>
      <c r="E129" s="99">
        <v>47.575788444999993</v>
      </c>
      <c r="F129" s="99">
        <v>1170.0681714549999</v>
      </c>
      <c r="G129" s="114">
        <f t="shared" si="5"/>
        <v>0.90661907951989074</v>
      </c>
    </row>
    <row r="130" spans="1:7" s="65" customFormat="1" ht="13">
      <c r="A130" s="459"/>
      <c r="B130" s="450" t="s">
        <v>110</v>
      </c>
      <c r="C130" s="104">
        <f t="shared" si="6"/>
        <v>1249.8312050049999</v>
      </c>
      <c r="D130" s="99">
        <v>1202.0942494999999</v>
      </c>
      <c r="E130" s="99">
        <v>47.736955504999997</v>
      </c>
      <c r="F130" s="99">
        <v>1157.1384874149999</v>
      </c>
      <c r="G130" s="114">
        <f t="shared" si="5"/>
        <v>0.92583581109288338</v>
      </c>
    </row>
    <row r="131" spans="1:7" s="65" customFormat="1" ht="13">
      <c r="A131" s="459"/>
      <c r="B131" s="450" t="s">
        <v>117</v>
      </c>
      <c r="C131" s="400">
        <f t="shared" si="6"/>
        <v>1258.2710294849999</v>
      </c>
      <c r="D131" s="377">
        <v>1210.3425394999999</v>
      </c>
      <c r="E131" s="377">
        <v>47.928489984999999</v>
      </c>
      <c r="F131" s="377">
        <v>1158.84972741</v>
      </c>
      <c r="G131" s="114">
        <f t="shared" si="5"/>
        <v>0.92098578148485843</v>
      </c>
    </row>
    <row r="132" spans="1:7" s="65" customFormat="1" ht="13">
      <c r="A132" s="459"/>
      <c r="B132" s="450" t="s">
        <v>112</v>
      </c>
      <c r="C132" s="400">
        <f t="shared" si="6"/>
        <v>1260.7618419949999</v>
      </c>
      <c r="D132" s="377">
        <v>1212.7124914999999</v>
      </c>
      <c r="E132" s="377">
        <v>48.049350494999999</v>
      </c>
      <c r="F132" s="377">
        <v>1159.8131968599998</v>
      </c>
      <c r="G132" s="114">
        <f t="shared" si="5"/>
        <v>0.91993044064907503</v>
      </c>
    </row>
    <row r="133" spans="1:7" s="65" customFormat="1" ht="13">
      <c r="A133" s="459"/>
      <c r="B133" s="450" t="s">
        <v>113</v>
      </c>
      <c r="C133" s="400">
        <f t="shared" si="6"/>
        <v>1268.7726502149999</v>
      </c>
      <c r="D133" s="377">
        <v>1220.6118915</v>
      </c>
      <c r="E133" s="377">
        <v>48.160758715</v>
      </c>
      <c r="F133" s="377">
        <v>1167.8860819900001</v>
      </c>
      <c r="G133" s="114">
        <f t="shared" si="5"/>
        <v>0.92048491255868092</v>
      </c>
    </row>
    <row r="134" spans="1:7" s="65" customFormat="1" ht="13">
      <c r="A134" s="459"/>
      <c r="B134" s="450" t="s">
        <v>114</v>
      </c>
      <c r="C134" s="379">
        <f t="shared" si="6"/>
        <v>1276.182928385</v>
      </c>
      <c r="D134" s="377">
        <v>1227.9224294999999</v>
      </c>
      <c r="E134" s="377">
        <v>48.260498885000004</v>
      </c>
      <c r="F134" s="377">
        <v>1179.936023535</v>
      </c>
      <c r="G134" s="114">
        <f t="shared" si="5"/>
        <v>0.92458220313932604</v>
      </c>
    </row>
    <row r="135" spans="1:7" s="65" customFormat="1" ht="13">
      <c r="A135" s="459"/>
      <c r="B135" s="450" t="s">
        <v>115</v>
      </c>
      <c r="C135" s="379">
        <f t="shared" si="6"/>
        <v>1282.7652951350001</v>
      </c>
      <c r="D135" s="377">
        <v>1234.4110115000001</v>
      </c>
      <c r="E135" s="377">
        <v>48.354283635000009</v>
      </c>
      <c r="F135" s="377">
        <v>1177.036927075</v>
      </c>
      <c r="G135" s="114">
        <f t="shared" si="5"/>
        <v>0.91757777633914461</v>
      </c>
    </row>
    <row r="136" spans="1:7" s="65" customFormat="1" ht="13">
      <c r="A136" s="460"/>
      <c r="B136" s="452" t="s">
        <v>116</v>
      </c>
      <c r="C136" s="380">
        <f t="shared" si="6"/>
        <v>1357.8005502349999</v>
      </c>
      <c r="D136" s="378">
        <v>1309.3413854999999</v>
      </c>
      <c r="E136" s="378">
        <v>48.459164735000002</v>
      </c>
      <c r="F136" s="378">
        <v>1240.6961254749999</v>
      </c>
      <c r="G136" s="115">
        <f t="shared" si="5"/>
        <v>0.91375432515494837</v>
      </c>
    </row>
    <row r="137" spans="1:7" s="65" customFormat="1" ht="14.5">
      <c r="A137" s="461">
        <v>2021</v>
      </c>
      <c r="B137" s="453" t="s">
        <v>105</v>
      </c>
      <c r="C137" s="387">
        <f t="shared" si="6"/>
        <v>1321.3801006250001</v>
      </c>
      <c r="D137" s="388">
        <v>1272.8222095000001</v>
      </c>
      <c r="E137" s="388">
        <v>48.557891124999998</v>
      </c>
      <c r="F137" s="388">
        <v>1229.0350134849998</v>
      </c>
      <c r="G137" s="116">
        <f t="shared" si="5"/>
        <v>0.93011466791703468</v>
      </c>
    </row>
    <row r="138" spans="1:7" s="65" customFormat="1" ht="13">
      <c r="A138" s="459"/>
      <c r="B138" s="450" t="s">
        <v>106</v>
      </c>
      <c r="C138" s="379">
        <f t="shared" si="6"/>
        <v>1347.8479314649999</v>
      </c>
      <c r="D138" s="377">
        <v>1299.0968654999999</v>
      </c>
      <c r="E138" s="377">
        <v>48.751065965000002</v>
      </c>
      <c r="F138" s="377">
        <v>1255.632899765</v>
      </c>
      <c r="G138" s="114">
        <f t="shared" si="5"/>
        <v>0.9315835046763995</v>
      </c>
    </row>
    <row r="139" spans="1:7" s="65" customFormat="1" ht="13">
      <c r="A139" s="459"/>
      <c r="B139" s="450" t="s">
        <v>107</v>
      </c>
      <c r="C139" s="379">
        <f t="shared" si="6"/>
        <v>1346.6228701150001</v>
      </c>
      <c r="D139" s="377">
        <v>1297.4904845000001</v>
      </c>
      <c r="E139" s="377">
        <v>49.132385615000011</v>
      </c>
      <c r="F139" s="377">
        <v>1245.571088725</v>
      </c>
      <c r="G139" s="114">
        <f t="shared" si="5"/>
        <v>0.92495910797848668</v>
      </c>
    </row>
    <row r="140" spans="1:7" s="65" customFormat="1" ht="13">
      <c r="A140" s="459"/>
      <c r="B140" s="450" t="s">
        <v>108</v>
      </c>
      <c r="C140" s="379">
        <f t="shared" si="6"/>
        <v>1364.3448971150001</v>
      </c>
      <c r="D140" s="377">
        <v>1315.0531905</v>
      </c>
      <c r="E140" s="377">
        <v>49.29170661500001</v>
      </c>
      <c r="F140" s="377">
        <v>1263.4993951849999</v>
      </c>
      <c r="G140" s="114">
        <f t="shared" si="5"/>
        <v>0.92608503748337767</v>
      </c>
    </row>
    <row r="141" spans="1:7" s="65" customFormat="1" ht="13">
      <c r="A141" s="459"/>
      <c r="B141" s="450" t="s">
        <v>109</v>
      </c>
      <c r="C141" s="379">
        <f t="shared" si="6"/>
        <v>1351.225440355</v>
      </c>
      <c r="D141" s="377">
        <v>1301.8339025</v>
      </c>
      <c r="E141" s="377">
        <v>49.39153785500001</v>
      </c>
      <c r="F141" s="377">
        <v>1261.4213000950001</v>
      </c>
      <c r="G141" s="114">
        <f t="shared" si="5"/>
        <v>0.93353874373738388</v>
      </c>
    </row>
    <row r="142" spans="1:7" s="65" customFormat="1" ht="13">
      <c r="A142" s="459"/>
      <c r="B142" s="450" t="s">
        <v>110</v>
      </c>
      <c r="C142" s="379">
        <f t="shared" si="6"/>
        <v>1351.7359267250001</v>
      </c>
      <c r="D142" s="377">
        <v>1302.2813475</v>
      </c>
      <c r="E142" s="377">
        <v>49.45457922500001</v>
      </c>
      <c r="F142" s="377">
        <v>1245.4174545350002</v>
      </c>
      <c r="G142" s="114">
        <f t="shared" si="5"/>
        <v>0.92134671418581771</v>
      </c>
    </row>
    <row r="143" spans="1:7" s="65" customFormat="1" ht="13">
      <c r="A143" s="459"/>
      <c r="B143" s="450" t="s">
        <v>117</v>
      </c>
      <c r="C143" s="400">
        <f t="shared" si="6"/>
        <v>1344.580702555</v>
      </c>
      <c r="D143" s="377">
        <v>1295.0618515000001</v>
      </c>
      <c r="E143" s="377">
        <v>49.518851055000013</v>
      </c>
      <c r="F143" s="377">
        <v>1234.9535409349999</v>
      </c>
      <c r="G143" s="114">
        <f t="shared" si="5"/>
        <v>0.9184673992333191</v>
      </c>
    </row>
    <row r="144" spans="1:7" s="65" customFormat="1" ht="13">
      <c r="A144" s="459"/>
      <c r="B144" s="450" t="s">
        <v>112</v>
      </c>
      <c r="C144" s="400">
        <f t="shared" si="6"/>
        <v>1363.832463255</v>
      </c>
      <c r="D144" s="377">
        <v>1314.2737725</v>
      </c>
      <c r="E144" s="377">
        <v>49.558690755000008</v>
      </c>
      <c r="F144" s="377">
        <v>1254.246617305</v>
      </c>
      <c r="G144" s="114">
        <f t="shared" si="5"/>
        <v>0.91964860134766391</v>
      </c>
    </row>
    <row r="145" spans="1:7" s="65" customFormat="1" ht="13">
      <c r="A145" s="459"/>
      <c r="B145" s="450" t="s">
        <v>113</v>
      </c>
      <c r="C145" s="400">
        <f t="shared" si="6"/>
        <v>1345.9479682250001</v>
      </c>
      <c r="D145" s="377">
        <v>1296.3611185</v>
      </c>
      <c r="E145" s="377">
        <v>49.586849725000008</v>
      </c>
      <c r="F145" s="377">
        <v>1256.048449895</v>
      </c>
      <c r="G145" s="114">
        <f t="shared" si="5"/>
        <v>0.93320728553232468</v>
      </c>
    </row>
    <row r="146" spans="1:7" s="65" customFormat="1" ht="13">
      <c r="A146" s="459"/>
      <c r="B146" s="450" t="s">
        <v>114</v>
      </c>
      <c r="C146" s="379">
        <f t="shared" si="6"/>
        <v>1366.927286805</v>
      </c>
      <c r="D146" s="377">
        <v>1317.2763975</v>
      </c>
      <c r="E146" s="377">
        <v>49.650889305000014</v>
      </c>
      <c r="F146" s="377">
        <v>1270.8737057349999</v>
      </c>
      <c r="G146" s="114">
        <f t="shared" si="5"/>
        <v>0.92973029216900649</v>
      </c>
    </row>
    <row r="147" spans="1:7" s="65" customFormat="1" ht="13">
      <c r="A147" s="459"/>
      <c r="B147" s="450" t="s">
        <v>115</v>
      </c>
      <c r="C147" s="379">
        <f t="shared" si="6"/>
        <v>1369.624969965</v>
      </c>
      <c r="D147" s="377">
        <v>1319.9147694999999</v>
      </c>
      <c r="E147" s="377">
        <v>49.710200465000014</v>
      </c>
      <c r="F147" s="377">
        <v>1269.5388825350001</v>
      </c>
      <c r="G147" s="114">
        <f t="shared" si="5"/>
        <v>0.9269244576984037</v>
      </c>
    </row>
    <row r="148" spans="1:7" s="65" customFormat="1" ht="13">
      <c r="A148" s="460"/>
      <c r="B148" s="452" t="s">
        <v>116</v>
      </c>
      <c r="C148" s="380">
        <f t="shared" si="6"/>
        <v>1431.435541905</v>
      </c>
      <c r="D148" s="378">
        <v>1381.6253194999999</v>
      </c>
      <c r="E148" s="378">
        <v>49.810222405000012</v>
      </c>
      <c r="F148" s="378">
        <v>1328.1317245150001</v>
      </c>
      <c r="G148" s="115">
        <f t="shared" si="5"/>
        <v>0.92783201592680875</v>
      </c>
    </row>
    <row r="149" spans="1:7" s="65" customFormat="1" ht="14.5">
      <c r="A149" s="461">
        <v>2022</v>
      </c>
      <c r="B149" s="454" t="s">
        <v>105</v>
      </c>
      <c r="C149" s="388">
        <f t="shared" si="6"/>
        <v>1432.9780901949998</v>
      </c>
      <c r="D149" s="388">
        <v>1383.1198414999999</v>
      </c>
      <c r="E149" s="388">
        <v>49.858248695000007</v>
      </c>
      <c r="F149" s="388">
        <v>1329.4853301349999</v>
      </c>
      <c r="G149" s="116">
        <f t="shared" si="5"/>
        <v>0.92777784896493665</v>
      </c>
    </row>
    <row r="150" spans="1:7" s="65" customFormat="1" ht="13">
      <c r="A150" s="459"/>
      <c r="B150" s="455" t="s">
        <v>106</v>
      </c>
      <c r="C150" s="377">
        <f t="shared" si="6"/>
        <v>1422.238044295</v>
      </c>
      <c r="D150" s="377">
        <v>1372.3321285</v>
      </c>
      <c r="E150" s="377">
        <v>49.905915795000013</v>
      </c>
      <c r="F150" s="377">
        <v>1328.4699345850001</v>
      </c>
      <c r="G150" s="114">
        <f t="shared" si="5"/>
        <v>0.93407003132413002</v>
      </c>
    </row>
    <row r="151" spans="1:7" s="65" customFormat="1" ht="13">
      <c r="A151" s="459"/>
      <c r="B151" s="455" t="s">
        <v>107</v>
      </c>
      <c r="C151" s="377">
        <f t="shared" si="6"/>
        <v>1431.644997225</v>
      </c>
      <c r="D151" s="377">
        <v>1381.6358905</v>
      </c>
      <c r="E151" s="377">
        <v>50.009106725000009</v>
      </c>
      <c r="F151" s="377">
        <v>1333.8712627450002</v>
      </c>
      <c r="G151" s="114">
        <f t="shared" si="5"/>
        <v>0.93170532173163212</v>
      </c>
    </row>
    <row r="152" spans="1:7" s="65" customFormat="1" ht="13">
      <c r="A152" s="459"/>
      <c r="B152" s="455" t="s">
        <v>108</v>
      </c>
      <c r="C152" s="377">
        <f t="shared" si="6"/>
        <v>1439.9572021050001</v>
      </c>
      <c r="D152" s="377">
        <v>1389.9173355</v>
      </c>
      <c r="E152" s="377">
        <v>50.039866605000014</v>
      </c>
      <c r="F152" s="377">
        <v>1351.0166444249999</v>
      </c>
      <c r="G152" s="114">
        <f t="shared" si="5"/>
        <v>0.93823388809751951</v>
      </c>
    </row>
    <row r="153" spans="1:7" s="65" customFormat="1" ht="13">
      <c r="A153" s="459"/>
      <c r="B153" s="455" t="s">
        <v>109</v>
      </c>
      <c r="C153" s="377">
        <f t="shared" si="6"/>
        <v>1411.179791045</v>
      </c>
      <c r="D153" s="377">
        <v>1361.0051845</v>
      </c>
      <c r="E153" s="377">
        <v>50.17460654500001</v>
      </c>
      <c r="F153" s="377">
        <v>1309.301571665</v>
      </c>
      <c r="G153" s="114">
        <f t="shared" si="5"/>
        <v>0.9278063503839169</v>
      </c>
    </row>
    <row r="154" spans="1:7" s="65" customFormat="1" ht="13">
      <c r="A154" s="459"/>
      <c r="B154" s="455" t="s">
        <v>110</v>
      </c>
      <c r="C154" s="377">
        <f t="shared" si="6"/>
        <v>1401.9744384350001</v>
      </c>
      <c r="D154" s="377">
        <v>1351.7378805000001</v>
      </c>
      <c r="E154" s="377">
        <v>50.236557935000008</v>
      </c>
      <c r="F154" s="377">
        <v>1301.0623830950001</v>
      </c>
      <c r="G154" s="114">
        <f t="shared" si="5"/>
        <v>0.92802147273623159</v>
      </c>
    </row>
    <row r="155" spans="1:7" s="65" customFormat="1" ht="13">
      <c r="A155" s="459"/>
      <c r="B155" s="455" t="s">
        <v>117</v>
      </c>
      <c r="C155" s="377">
        <f t="shared" si="6"/>
        <v>1391.1984591750002</v>
      </c>
      <c r="D155" s="377">
        <v>1340.8997755</v>
      </c>
      <c r="E155" s="377">
        <v>50.298683675000014</v>
      </c>
      <c r="F155" s="377">
        <v>1286.2180263749999</v>
      </c>
      <c r="G155" s="114">
        <f t="shared" si="5"/>
        <v>0.92453957082280336</v>
      </c>
    </row>
    <row r="156" spans="1:7" s="65" customFormat="1" ht="13">
      <c r="A156" s="459"/>
      <c r="B156" s="455" t="s">
        <v>112</v>
      </c>
      <c r="C156" s="377">
        <f t="shared" si="6"/>
        <v>1389.3364136350001</v>
      </c>
      <c r="D156" s="377">
        <v>1338.9272845</v>
      </c>
      <c r="E156" s="377">
        <v>50.409129135000015</v>
      </c>
      <c r="F156" s="377">
        <v>1256.0790367349998</v>
      </c>
      <c r="G156" s="114">
        <f t="shared" si="5"/>
        <v>0.90408559396255117</v>
      </c>
    </row>
    <row r="157" spans="1:7" s="65" customFormat="1" ht="13">
      <c r="A157" s="459"/>
      <c r="B157" s="455" t="s">
        <v>113</v>
      </c>
      <c r="C157" s="377">
        <f t="shared" si="6"/>
        <v>1364.258300165</v>
      </c>
      <c r="D157" s="377">
        <v>1313.7971315</v>
      </c>
      <c r="E157" s="377">
        <v>50.46116866500001</v>
      </c>
      <c r="F157" s="377">
        <v>1233.850445775</v>
      </c>
      <c r="G157" s="114">
        <f t="shared" si="5"/>
        <v>0.90441117024963102</v>
      </c>
    </row>
    <row r="158" spans="1:7" s="65" customFormat="1" ht="13">
      <c r="A158" s="459"/>
      <c r="B158" s="455" t="s">
        <v>114</v>
      </c>
      <c r="C158" s="377">
        <f t="shared" si="6"/>
        <v>1361.627465195</v>
      </c>
      <c r="D158" s="377">
        <v>1311.0940895000001</v>
      </c>
      <c r="E158" s="377">
        <v>50.533375695000011</v>
      </c>
      <c r="F158" s="377">
        <v>1231.403551055</v>
      </c>
      <c r="G158" s="114">
        <f t="shared" si="5"/>
        <v>0.9043615691746123</v>
      </c>
    </row>
    <row r="159" spans="1:7" s="65" customFormat="1" ht="13">
      <c r="A159" s="459"/>
      <c r="B159" s="455" t="s">
        <v>115</v>
      </c>
      <c r="C159" s="377">
        <f t="shared" si="6"/>
        <v>1359.1085463050001</v>
      </c>
      <c r="D159" s="377">
        <v>1308.4905535</v>
      </c>
      <c r="E159" s="377">
        <v>50.617992805000014</v>
      </c>
      <c r="F159" s="377">
        <v>1216.091037525</v>
      </c>
      <c r="G159" s="114">
        <f t="shared" si="5"/>
        <v>0.89477109155937484</v>
      </c>
    </row>
    <row r="160" spans="1:7" s="65" customFormat="1" ht="13">
      <c r="A160" s="460"/>
      <c r="B160" s="456" t="s">
        <v>116</v>
      </c>
      <c r="C160" s="378">
        <f t="shared" si="6"/>
        <v>1422.272677895</v>
      </c>
      <c r="D160" s="378">
        <v>1371.6068625</v>
      </c>
      <c r="E160" s="378">
        <v>50.66581539500001</v>
      </c>
      <c r="F160" s="378">
        <v>1235.938929555</v>
      </c>
      <c r="G160" s="115">
        <f t="shared" si="5"/>
        <v>0.86898873103870722</v>
      </c>
    </row>
    <row r="161" spans="1:7" s="65" customFormat="1" ht="14.5">
      <c r="A161" s="461">
        <v>2023</v>
      </c>
      <c r="B161" s="454" t="s">
        <v>105</v>
      </c>
      <c r="C161" s="388">
        <f t="shared" si="6"/>
        <v>1414.357200315</v>
      </c>
      <c r="D161" s="388">
        <v>1363.6069735000001</v>
      </c>
      <c r="E161" s="388">
        <v>50.750226815000005</v>
      </c>
      <c r="F161" s="388">
        <v>1245.143880055</v>
      </c>
      <c r="G161" s="116">
        <f t="shared" si="5"/>
        <v>0.88036026526940048</v>
      </c>
    </row>
    <row r="162" spans="1:7" s="65" customFormat="1" ht="13">
      <c r="A162" s="459"/>
      <c r="B162" s="455" t="s">
        <v>106</v>
      </c>
      <c r="C162" s="377">
        <f t="shared" si="6"/>
        <v>1378.5778343049999</v>
      </c>
      <c r="D162" s="377">
        <v>1327.6894725</v>
      </c>
      <c r="E162" s="377">
        <v>50.888361805000009</v>
      </c>
      <c r="F162" s="377">
        <v>1215.282190545</v>
      </c>
      <c r="G162" s="114">
        <f t="shared" si="5"/>
        <v>0.88154775182329537</v>
      </c>
    </row>
    <row r="163" spans="1:7" s="65" customFormat="1" ht="13">
      <c r="A163" s="459"/>
      <c r="B163" s="455" t="s">
        <v>107</v>
      </c>
      <c r="C163" s="377">
        <f t="shared" si="6"/>
        <v>1384.827322415</v>
      </c>
      <c r="D163" s="377">
        <v>1333.8218175</v>
      </c>
      <c r="E163" s="377">
        <v>51.005504915000017</v>
      </c>
      <c r="F163" s="377">
        <v>1216.874342655</v>
      </c>
      <c r="G163" s="114">
        <f t="shared" si="5"/>
        <v>0.87871918972027008</v>
      </c>
    </row>
    <row r="164" spans="1:7" s="65" customFormat="1" ht="13">
      <c r="A164" s="459"/>
      <c r="B164" s="455" t="s">
        <v>108</v>
      </c>
      <c r="C164" s="377">
        <f t="shared" si="6"/>
        <v>1429.4063015649999</v>
      </c>
      <c r="D164" s="377">
        <v>1378.3974925</v>
      </c>
      <c r="E164" s="377">
        <v>51.008809065000008</v>
      </c>
      <c r="F164" s="377">
        <v>1268.264441135</v>
      </c>
      <c r="G164" s="114">
        <f t="shared" si="5"/>
        <v>0.88726658036027117</v>
      </c>
    </row>
    <row r="165" spans="1:7" s="65" customFormat="1" ht="13">
      <c r="A165" s="459"/>
      <c r="B165" s="455" t="s">
        <v>109</v>
      </c>
      <c r="C165" s="377">
        <f t="shared" si="6"/>
        <v>1363.4736073849999</v>
      </c>
      <c r="D165" s="377">
        <v>1312.3555855</v>
      </c>
      <c r="E165" s="377">
        <v>51.118021885000012</v>
      </c>
      <c r="F165" s="377">
        <v>1194.6099587550002</v>
      </c>
      <c r="G165" s="114">
        <f t="shared" si="5"/>
        <v>0.8761518758299528</v>
      </c>
    </row>
    <row r="166" spans="1:7" s="65" customFormat="1" ht="13">
      <c r="A166" s="459"/>
      <c r="B166" s="455" t="s">
        <v>110</v>
      </c>
      <c r="C166" s="377">
        <f t="shared" si="6"/>
        <v>1366.772190805</v>
      </c>
      <c r="D166" s="377">
        <v>1315.5491715000001</v>
      </c>
      <c r="E166" s="377">
        <v>51.223019305000008</v>
      </c>
      <c r="F166" s="377">
        <v>1206.3391353750001</v>
      </c>
      <c r="G166" s="114">
        <f t="shared" si="5"/>
        <v>0.88261902275352244</v>
      </c>
    </row>
    <row r="167" spans="1:7" s="65" customFormat="1" ht="13">
      <c r="A167" s="459"/>
      <c r="B167" s="455" t="s">
        <v>117</v>
      </c>
      <c r="C167" s="377">
        <f t="shared" si="6"/>
        <v>1367.0751393799999</v>
      </c>
      <c r="D167" s="377">
        <v>1315.7741114999999</v>
      </c>
      <c r="E167" s="377">
        <v>51.301027879999999</v>
      </c>
      <c r="F167" s="377">
        <v>1195.5311268</v>
      </c>
      <c r="G167" s="114">
        <f t="shared" ref="G167:G190" si="7">F167/C167</f>
        <v>0.8745174953164615</v>
      </c>
    </row>
    <row r="168" spans="1:7" s="65" customFormat="1" ht="13">
      <c r="A168" s="459"/>
      <c r="B168" s="455" t="s">
        <v>112</v>
      </c>
      <c r="C168" s="377">
        <f t="shared" si="6"/>
        <v>1379.8850985899999</v>
      </c>
      <c r="D168" s="377">
        <v>1328.4787624999999</v>
      </c>
      <c r="E168" s="377">
        <v>51.406336090000003</v>
      </c>
      <c r="F168" s="377">
        <v>1207.17773594</v>
      </c>
      <c r="G168" s="114">
        <f t="shared" si="7"/>
        <v>0.87483931609488619</v>
      </c>
    </row>
    <row r="169" spans="1:7" s="65" customFormat="1" ht="13">
      <c r="A169" s="459"/>
      <c r="B169" s="455" t="s">
        <v>113</v>
      </c>
      <c r="C169" s="377">
        <f t="shared" si="6"/>
        <v>1361.4620344999998</v>
      </c>
      <c r="D169" s="377">
        <v>1309.9562265</v>
      </c>
      <c r="E169" s="377">
        <v>51.505808000000002</v>
      </c>
      <c r="F169" s="377">
        <v>1204.0344795399999</v>
      </c>
      <c r="G169" s="114">
        <f t="shared" si="7"/>
        <v>0.88436875140788218</v>
      </c>
    </row>
    <row r="170" spans="1:7" s="65" customFormat="1" ht="13">
      <c r="A170" s="459"/>
      <c r="B170" s="455" t="s">
        <v>114</v>
      </c>
      <c r="C170" s="377">
        <f t="shared" ref="C170:C190" si="8">D170+E170</f>
        <v>1375.1801129</v>
      </c>
      <c r="D170" s="377">
        <v>1323.6008535000001</v>
      </c>
      <c r="E170" s="377">
        <v>51.579259399999998</v>
      </c>
      <c r="F170" s="377">
        <v>1195.6759122400001</v>
      </c>
      <c r="G170" s="114">
        <f t="shared" si="7"/>
        <v>0.86946858889526923</v>
      </c>
    </row>
    <row r="171" spans="1:7" s="65" customFormat="1" ht="13">
      <c r="A171" s="459"/>
      <c r="B171" s="455" t="s">
        <v>115</v>
      </c>
      <c r="C171" s="377">
        <f t="shared" si="8"/>
        <v>1363.3528906199999</v>
      </c>
      <c r="D171" s="377">
        <v>1311.6926575</v>
      </c>
      <c r="E171" s="377">
        <v>51.660233119999994</v>
      </c>
      <c r="F171" s="377">
        <v>1193.2241243699998</v>
      </c>
      <c r="G171" s="114">
        <f t="shared" si="7"/>
        <v>0.87521296399450021</v>
      </c>
    </row>
    <row r="172" spans="1:7" s="65" customFormat="1" ht="13">
      <c r="A172" s="460"/>
      <c r="B172" s="456" t="s">
        <v>116</v>
      </c>
      <c r="C172" s="378">
        <f t="shared" si="8"/>
        <v>1417.03190675</v>
      </c>
      <c r="D172" s="378">
        <v>1365.3190585</v>
      </c>
      <c r="E172" s="378">
        <v>51.71284825</v>
      </c>
      <c r="F172" s="378">
        <v>1237.1348274100001</v>
      </c>
      <c r="G172" s="115">
        <f t="shared" si="7"/>
        <v>0.87304655704429512</v>
      </c>
    </row>
    <row r="173" spans="1:7" s="65" customFormat="1" ht="14.5">
      <c r="A173" s="461">
        <v>2024</v>
      </c>
      <c r="B173" s="454" t="s">
        <v>105</v>
      </c>
      <c r="C173" s="388">
        <f t="shared" si="8"/>
        <v>1408.37</v>
      </c>
      <c r="D173" s="388">
        <v>1356.58</v>
      </c>
      <c r="E173" s="643">
        <v>51.79</v>
      </c>
      <c r="F173" s="388">
        <v>1243.10194179</v>
      </c>
      <c r="G173" s="116">
        <f t="shared" si="7"/>
        <v>0.88265295468520355</v>
      </c>
    </row>
    <row r="174" spans="1:7" s="65" customFormat="1" ht="13">
      <c r="A174" s="459"/>
      <c r="B174" s="455" t="s">
        <v>106</v>
      </c>
      <c r="C174" s="377">
        <f t="shared" si="8"/>
        <v>1401.91</v>
      </c>
      <c r="D174" s="644">
        <v>1350.02</v>
      </c>
      <c r="E174" s="377">
        <v>51.89</v>
      </c>
      <c r="F174" s="377">
        <v>1235.61455815</v>
      </c>
      <c r="G174" s="114">
        <f t="shared" si="7"/>
        <v>0.88137937396123855</v>
      </c>
    </row>
    <row r="175" spans="1:7" s="65" customFormat="1" ht="13">
      <c r="A175" s="459"/>
      <c r="B175" s="455" t="s">
        <v>107</v>
      </c>
      <c r="C175" s="377">
        <f t="shared" si="8"/>
        <v>1408.44</v>
      </c>
      <c r="D175" s="377">
        <v>1356.44</v>
      </c>
      <c r="E175" s="377">
        <v>52</v>
      </c>
      <c r="F175" s="377">
        <v>1247.6330902899999</v>
      </c>
      <c r="G175" s="114">
        <f t="shared" si="7"/>
        <v>0.88582622638522046</v>
      </c>
    </row>
    <row r="176" spans="1:7" s="65" customFormat="1" ht="13">
      <c r="A176" s="459"/>
      <c r="B176" s="455" t="s">
        <v>108</v>
      </c>
      <c r="C176" s="377">
        <f t="shared" si="8"/>
        <v>1387.4680000000001</v>
      </c>
      <c r="D176" s="377">
        <v>1335.39</v>
      </c>
      <c r="E176" s="644">
        <v>52.078000000000003</v>
      </c>
      <c r="F176" s="377">
        <v>1220.1199999999999</v>
      </c>
      <c r="G176" s="114">
        <f t="shared" si="7"/>
        <v>0.87938604710162671</v>
      </c>
    </row>
    <row r="177" spans="1:7" s="65" customFormat="1" ht="13">
      <c r="A177" s="459"/>
      <c r="B177" s="455" t="s">
        <v>109</v>
      </c>
      <c r="C177" s="377">
        <f t="shared" si="8"/>
        <v>1363.4349999999999</v>
      </c>
      <c r="D177" s="377">
        <v>1311.27</v>
      </c>
      <c r="E177" s="644">
        <v>52.164999999999999</v>
      </c>
      <c r="F177" s="377">
        <v>1192.3200000000002</v>
      </c>
      <c r="G177" s="114">
        <f t="shared" si="7"/>
        <v>0.87449713407679885</v>
      </c>
    </row>
    <row r="178" spans="1:7" s="65" customFormat="1" ht="13">
      <c r="A178" s="459"/>
      <c r="B178" s="455" t="s">
        <v>110</v>
      </c>
      <c r="C178" s="377">
        <f t="shared" si="8"/>
        <v>1353.67</v>
      </c>
      <c r="D178" s="377">
        <v>1301.44</v>
      </c>
      <c r="E178" s="377">
        <v>52.23</v>
      </c>
      <c r="F178" s="377">
        <v>1216.58</v>
      </c>
      <c r="G178" s="114">
        <f t="shared" si="7"/>
        <v>0.89872716393212515</v>
      </c>
    </row>
    <row r="179" spans="1:7" s="65" customFormat="1" ht="13">
      <c r="A179" s="459"/>
      <c r="B179" s="455" t="s">
        <v>117</v>
      </c>
      <c r="C179" s="377">
        <f t="shared" si="8"/>
        <v>1363.9189999999999</v>
      </c>
      <c r="D179" s="377">
        <v>1311.579</v>
      </c>
      <c r="E179" s="377">
        <v>52.34</v>
      </c>
      <c r="F179" s="377">
        <v>1193.58</v>
      </c>
      <c r="G179" s="114">
        <f t="shared" si="7"/>
        <v>0.87511061873908935</v>
      </c>
    </row>
    <row r="180" spans="1:7" s="65" customFormat="1" ht="13">
      <c r="A180" s="459"/>
      <c r="B180" s="455" t="s">
        <v>112</v>
      </c>
      <c r="C180" s="377">
        <f t="shared" si="8"/>
        <v>1361.0700000000002</v>
      </c>
      <c r="D180" s="377">
        <v>1308.67</v>
      </c>
      <c r="E180" s="377">
        <v>52.4</v>
      </c>
      <c r="F180" s="377">
        <v>1187.6199999999999</v>
      </c>
      <c r="G180" s="114">
        <f t="shared" si="7"/>
        <v>0.87256349783626097</v>
      </c>
    </row>
    <row r="181" spans="1:7" s="65" customFormat="1" ht="13">
      <c r="A181" s="459"/>
      <c r="B181" s="455" t="s">
        <v>113</v>
      </c>
      <c r="C181" s="377">
        <f t="shared" si="8"/>
        <v>1362.47</v>
      </c>
      <c r="D181" s="377">
        <v>1309.94</v>
      </c>
      <c r="E181" s="377">
        <v>52.53</v>
      </c>
      <c r="F181" s="377">
        <v>1211.3800000000001</v>
      </c>
      <c r="G181" s="114">
        <f t="shared" si="7"/>
        <v>0.88910581517391218</v>
      </c>
    </row>
    <row r="182" spans="1:7" s="65" customFormat="1" ht="13">
      <c r="A182" s="459"/>
      <c r="B182" s="455" t="s">
        <v>114</v>
      </c>
      <c r="C182" s="377">
        <f t="shared" si="8"/>
        <v>1353.729</v>
      </c>
      <c r="D182" s="377">
        <v>1301.1590000000001</v>
      </c>
      <c r="E182" s="377">
        <v>52.57</v>
      </c>
      <c r="F182" s="377">
        <v>1188.2</v>
      </c>
      <c r="G182" s="114">
        <f t="shared" si="7"/>
        <v>0.87772368029347081</v>
      </c>
    </row>
    <row r="183" spans="1:7" s="65" customFormat="1" ht="13">
      <c r="A183" s="459"/>
      <c r="B183" s="455" t="s">
        <v>115</v>
      </c>
      <c r="C183" s="377">
        <f t="shared" si="8"/>
        <v>1356.99</v>
      </c>
      <c r="D183" s="377">
        <v>1304.33</v>
      </c>
      <c r="E183" s="377">
        <v>52.66</v>
      </c>
      <c r="F183" s="377">
        <v>1203.1030000000001</v>
      </c>
      <c r="G183" s="114">
        <f t="shared" si="7"/>
        <v>0.88659680616658931</v>
      </c>
    </row>
    <row r="184" spans="1:7" s="65" customFormat="1" ht="13">
      <c r="A184" s="459"/>
      <c r="B184" s="455" t="s">
        <v>116</v>
      </c>
      <c r="C184" s="377">
        <f t="shared" si="8"/>
        <v>1401.44</v>
      </c>
      <c r="D184" s="377">
        <v>1348.71</v>
      </c>
      <c r="E184" s="377">
        <v>52.73</v>
      </c>
      <c r="F184" s="377">
        <v>1198.3059999999998</v>
      </c>
      <c r="G184" s="114">
        <f t="shared" si="7"/>
        <v>0.85505337367279355</v>
      </c>
    </row>
    <row r="185" spans="1:7" s="65" customFormat="1" ht="14.5">
      <c r="A185" s="461">
        <v>2025</v>
      </c>
      <c r="B185" s="454" t="s">
        <v>105</v>
      </c>
      <c r="C185" s="388">
        <f t="shared" si="8"/>
        <v>1437.0339999999999</v>
      </c>
      <c r="D185" s="388">
        <v>1384.2339999999999</v>
      </c>
      <c r="E185" s="388">
        <v>52.8</v>
      </c>
      <c r="F185" s="388">
        <v>1245.5999999999999</v>
      </c>
      <c r="G185" s="116">
        <f t="shared" si="7"/>
        <v>0.8667853370205576</v>
      </c>
    </row>
    <row r="186" spans="1:7" s="65" customFormat="1" ht="14.5">
      <c r="A186" s="694"/>
      <c r="B186" s="455" t="s">
        <v>106</v>
      </c>
      <c r="C186" s="377">
        <f t="shared" si="8"/>
        <v>1391.3799999999999</v>
      </c>
      <c r="D186" s="377">
        <v>1338.51</v>
      </c>
      <c r="E186" s="377">
        <v>52.87</v>
      </c>
      <c r="F186" s="377">
        <v>1224.4699999999998</v>
      </c>
      <c r="G186" s="114">
        <f t="shared" si="7"/>
        <v>0.88003996032715714</v>
      </c>
    </row>
    <row r="187" spans="1:7" s="65" customFormat="1" ht="14.5">
      <c r="A187" s="694"/>
      <c r="B187" s="455" t="s">
        <v>107</v>
      </c>
      <c r="C187" s="377">
        <f t="shared" si="8"/>
        <v>1410.6799999999998</v>
      </c>
      <c r="D187" s="377">
        <v>1357.81</v>
      </c>
      <c r="E187" s="377">
        <v>52.87</v>
      </c>
      <c r="F187" s="377">
        <v>1252.55</v>
      </c>
      <c r="G187" s="114">
        <f t="shared" si="7"/>
        <v>0.88790512377009678</v>
      </c>
    </row>
    <row r="188" spans="1:7" s="65" customFormat="1" ht="14.5">
      <c r="A188" s="694"/>
      <c r="B188" s="455" t="s">
        <v>108</v>
      </c>
      <c r="C188" s="377">
        <f t="shared" si="8"/>
        <v>1366.9290000000001</v>
      </c>
      <c r="D188" s="377">
        <v>1313.97</v>
      </c>
      <c r="E188" s="377">
        <v>52.959000000000003</v>
      </c>
      <c r="F188" s="377">
        <v>1206.26</v>
      </c>
      <c r="G188" s="114">
        <f t="shared" si="7"/>
        <v>0.88245987904273004</v>
      </c>
    </row>
    <row r="189" spans="1:7" s="65" customFormat="1" ht="13">
      <c r="A189" s="459"/>
      <c r="B189" s="455" t="s">
        <v>109</v>
      </c>
      <c r="C189" s="377">
        <f t="shared" si="8"/>
        <v>1350.271</v>
      </c>
      <c r="D189" s="377">
        <v>1297.22</v>
      </c>
      <c r="E189" s="377">
        <v>53.051000000000002</v>
      </c>
      <c r="F189" s="377">
        <v>1196.18</v>
      </c>
      <c r="G189" s="114">
        <f t="shared" si="7"/>
        <v>0.88588142676544201</v>
      </c>
    </row>
    <row r="190" spans="1:7" s="65" customFormat="1" ht="13">
      <c r="A190" s="460"/>
      <c r="B190" s="456" t="s">
        <v>110</v>
      </c>
      <c r="C190" s="378">
        <f t="shared" si="8"/>
        <v>1342.3610000000001</v>
      </c>
      <c r="D190" s="378">
        <v>1289.2370000000001</v>
      </c>
      <c r="E190" s="378">
        <v>53.124000000000002</v>
      </c>
      <c r="F190" s="378">
        <v>1197.9299999999998</v>
      </c>
      <c r="G190" s="115">
        <f t="shared" si="7"/>
        <v>0.8924052471727052</v>
      </c>
    </row>
    <row r="191" spans="1:7" s="65" customFormat="1" ht="13">
      <c r="B191" s="463"/>
      <c r="C191" s="464"/>
      <c r="D191" s="464"/>
      <c r="E191" s="464"/>
      <c r="F191" s="465"/>
      <c r="G191" s="376"/>
    </row>
    <row r="192" spans="1:7" s="65" customFormat="1" ht="13">
      <c r="A192" s="491" t="s">
        <v>118</v>
      </c>
      <c r="B192" s="463"/>
      <c r="C192" s="464"/>
      <c r="D192" s="465"/>
      <c r="E192" s="466"/>
      <c r="F192" s="465"/>
      <c r="G192" s="606"/>
    </row>
    <row r="193" spans="1:7" s="65" customFormat="1" ht="13">
      <c r="A193" s="463"/>
      <c r="B193" s="463"/>
      <c r="C193" s="467"/>
      <c r="D193" s="468"/>
      <c r="E193" s="469"/>
      <c r="F193" s="465"/>
      <c r="G193" s="606"/>
    </row>
    <row r="194" spans="1:7" s="65" customFormat="1" ht="13">
      <c r="A194" s="475" t="s">
        <v>119</v>
      </c>
      <c r="B194" s="470"/>
      <c r="C194" s="470"/>
      <c r="D194" s="465"/>
      <c r="E194" s="469"/>
      <c r="F194" s="465"/>
      <c r="G194" s="61"/>
    </row>
    <row r="195" spans="1:7" s="65" customFormat="1" ht="13">
      <c r="A195" s="475" t="s">
        <v>120</v>
      </c>
      <c r="B195" s="59"/>
      <c r="C195" s="62"/>
      <c r="D195" s="612"/>
      <c r="E195" s="612"/>
      <c r="F195" s="612"/>
      <c r="G195" s="61"/>
    </row>
    <row r="196" spans="1:7" s="65" customFormat="1" ht="13">
      <c r="A196" s="475"/>
      <c r="B196" s="59"/>
      <c r="C196" s="583"/>
      <c r="D196" s="612"/>
      <c r="E196" s="613"/>
      <c r="F196" s="612"/>
      <c r="G196" s="64"/>
    </row>
    <row r="197" spans="1:7">
      <c r="C197" s="62"/>
      <c r="D197" s="60"/>
      <c r="E197" s="63"/>
      <c r="F197" s="63"/>
      <c r="G197" s="63"/>
    </row>
    <row r="198" spans="1:7">
      <c r="F198" s="63"/>
    </row>
    <row r="199" spans="1:7">
      <c r="F199" s="63"/>
    </row>
    <row r="200" spans="1:7">
      <c r="F200" s="63"/>
    </row>
    <row r="201" spans="1:7">
      <c r="F201" s="63"/>
    </row>
    <row r="202" spans="1:7">
      <c r="F202" s="63"/>
    </row>
    <row r="203" spans="1:7">
      <c r="F203" s="63"/>
    </row>
    <row r="204" spans="1:7">
      <c r="F204" s="63"/>
    </row>
    <row r="205" spans="1:7">
      <c r="F205" s="63"/>
    </row>
    <row r="206" spans="1:7">
      <c r="F206" s="63"/>
    </row>
    <row r="207" spans="1:7">
      <c r="F207" s="63"/>
    </row>
    <row r="208" spans="1:7">
      <c r="F208" s="63"/>
    </row>
    <row r="209" spans="6:6">
      <c r="F209" s="63"/>
    </row>
    <row r="210" spans="6:6">
      <c r="F210" s="63"/>
    </row>
    <row r="211" spans="6:6">
      <c r="F211" s="63"/>
    </row>
    <row r="212" spans="6:6">
      <c r="F212" s="63"/>
    </row>
    <row r="213" spans="6:6">
      <c r="F213" s="63"/>
    </row>
  </sheetData>
  <sheetProtection formatCells="0" insertColumns="0" insertRows="0" deleteColumns="0" deleteRows="0"/>
  <mergeCells count="6">
    <mergeCell ref="A1:G1"/>
    <mergeCell ref="G3:G4"/>
    <mergeCell ref="A2:G2"/>
    <mergeCell ref="A3:B4"/>
    <mergeCell ref="C3:E3"/>
    <mergeCell ref="F3:F4"/>
  </mergeCells>
  <printOptions horizontalCentered="1"/>
  <pageMargins left="0.7" right="0.7" top="0.75" bottom="0.75" header="0.3" footer="0.3"/>
  <pageSetup paperSize="9" orientation="landscape" r:id="rId1"/>
  <ignoredErrors>
    <ignoredError sqref="C125:C127 G125:G127"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
  <sheetViews>
    <sheetView showGridLines="0" showRowColHeaders="0" topLeftCell="A13" zoomScaleNormal="100" workbookViewId="0">
      <selection activeCell="AG12" sqref="AG12"/>
    </sheetView>
  </sheetViews>
  <sheetFormatPr defaultRowHeight="14.5"/>
  <cols>
    <col min="7" max="7" width="8.81640625" customWidth="1"/>
  </cols>
  <sheetData>
    <row r="1" spans="1:9">
      <c r="B1" s="628"/>
      <c r="C1" s="628"/>
      <c r="D1" s="628"/>
      <c r="E1" s="628"/>
      <c r="F1" s="628"/>
      <c r="G1" s="628"/>
      <c r="H1" s="629"/>
      <c r="I1" s="629"/>
    </row>
    <row r="2" spans="1:9">
      <c r="A2" s="628" t="s">
        <v>357</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592"/>
  <sheetViews>
    <sheetView topLeftCell="A12" zoomScaleNormal="100" workbookViewId="0">
      <selection activeCell="A11" sqref="A11"/>
    </sheetView>
  </sheetViews>
  <sheetFormatPr defaultColWidth="8.81640625" defaultRowHeight="13"/>
  <cols>
    <col min="1" max="1" width="8.81640625" style="411"/>
    <col min="2" max="2" width="11" style="411" customWidth="1"/>
    <col min="3" max="6" width="17.1796875" style="411" customWidth="1"/>
    <col min="7" max="16384" width="8.81640625" style="411"/>
  </cols>
  <sheetData>
    <row r="1" spans="1:10" s="65" customFormat="1">
      <c r="A1" s="716" t="s">
        <v>358</v>
      </c>
      <c r="B1" s="716"/>
      <c r="C1" s="716"/>
      <c r="D1" s="716"/>
      <c r="E1" s="716"/>
      <c r="F1" s="716"/>
    </row>
    <row r="2" spans="1:10" s="65" customFormat="1">
      <c r="A2" s="68"/>
    </row>
    <row r="3" spans="1:10" s="65" customFormat="1">
      <c r="A3" s="882" t="s">
        <v>359</v>
      </c>
      <c r="B3" s="882"/>
      <c r="C3" s="882"/>
      <c r="D3" s="882"/>
      <c r="E3" s="882"/>
      <c r="F3" s="882"/>
    </row>
    <row r="4" spans="1:10">
      <c r="A4" s="65"/>
    </row>
    <row r="5" spans="1:10" ht="14.5">
      <c r="A5" s="876" t="s">
        <v>360</v>
      </c>
      <c r="B5" s="876"/>
      <c r="C5" s="876"/>
      <c r="D5" s="876"/>
      <c r="E5" s="876"/>
      <c r="F5" s="876"/>
    </row>
    <row r="6" spans="1:10" ht="14.5">
      <c r="A6" s="822" t="s">
        <v>98</v>
      </c>
      <c r="B6" s="823"/>
      <c r="C6" s="879" t="s">
        <v>361</v>
      </c>
      <c r="D6" s="880"/>
      <c r="E6" s="880"/>
      <c r="F6" s="881"/>
    </row>
    <row r="7" spans="1:10" ht="45" customHeight="1">
      <c r="A7" s="877"/>
      <c r="B7" s="878"/>
      <c r="C7" s="561" t="s">
        <v>362</v>
      </c>
      <c r="D7" s="561" t="s">
        <v>363</v>
      </c>
      <c r="E7" s="561" t="s">
        <v>364</v>
      </c>
      <c r="F7" s="562" t="s">
        <v>365</v>
      </c>
    </row>
    <row r="8" spans="1:10" ht="14.5">
      <c r="A8" s="471">
        <v>2020</v>
      </c>
      <c r="B8" s="453" t="s">
        <v>112</v>
      </c>
      <c r="C8" s="403">
        <v>49.8</v>
      </c>
      <c r="D8" s="403">
        <v>50.1</v>
      </c>
      <c r="E8" s="403">
        <v>50.2</v>
      </c>
      <c r="F8" s="402">
        <v>50.1</v>
      </c>
      <c r="G8" s="611"/>
      <c r="H8" s="611"/>
      <c r="I8" s="611"/>
      <c r="J8" s="611"/>
    </row>
    <row r="9" spans="1:10" ht="14.5">
      <c r="A9" s="472"/>
      <c r="B9" s="455" t="s">
        <v>113</v>
      </c>
      <c r="C9" s="405">
        <v>50.1</v>
      </c>
      <c r="D9" s="405">
        <v>50</v>
      </c>
      <c r="E9" s="405">
        <v>49.9</v>
      </c>
      <c r="F9" s="404">
        <v>50.1</v>
      </c>
      <c r="G9" s="611"/>
      <c r="H9" s="611"/>
      <c r="I9" s="611"/>
      <c r="J9" s="611"/>
    </row>
    <row r="10" spans="1:10" ht="14.5">
      <c r="A10" s="472"/>
      <c r="B10" s="455" t="s">
        <v>114</v>
      </c>
      <c r="C10" s="405">
        <v>50</v>
      </c>
      <c r="D10" s="405">
        <v>49.9</v>
      </c>
      <c r="E10" s="405">
        <v>49.9</v>
      </c>
      <c r="F10" s="404">
        <v>50.1</v>
      </c>
      <c r="G10" s="611"/>
      <c r="H10" s="611"/>
      <c r="I10" s="611"/>
      <c r="J10" s="611"/>
    </row>
    <row r="11" spans="1:10" ht="14.5">
      <c r="A11" s="472"/>
      <c r="B11" s="455" t="s">
        <v>115</v>
      </c>
      <c r="C11" s="405">
        <v>50.2</v>
      </c>
      <c r="D11" s="405">
        <v>50.2</v>
      </c>
      <c r="E11" s="405">
        <v>50.3</v>
      </c>
      <c r="F11" s="404">
        <v>50.4</v>
      </c>
      <c r="G11" s="611"/>
      <c r="H11" s="611"/>
      <c r="I11" s="611"/>
      <c r="J11" s="611"/>
    </row>
    <row r="12" spans="1:10" ht="14.5">
      <c r="A12" s="472"/>
      <c r="B12" s="456" t="s">
        <v>116</v>
      </c>
      <c r="C12" s="407">
        <v>49.8</v>
      </c>
      <c r="D12" s="407">
        <v>50.1</v>
      </c>
      <c r="E12" s="407">
        <v>50</v>
      </c>
      <c r="F12" s="406">
        <v>50.2</v>
      </c>
      <c r="G12" s="611"/>
      <c r="H12" s="611"/>
      <c r="I12" s="611"/>
      <c r="J12" s="611"/>
    </row>
    <row r="13" spans="1:10" ht="14.5">
      <c r="A13" s="631">
        <v>2021</v>
      </c>
      <c r="B13" s="454" t="s">
        <v>105</v>
      </c>
      <c r="C13" s="403">
        <v>50</v>
      </c>
      <c r="D13" s="403">
        <v>50.1</v>
      </c>
      <c r="E13" s="403">
        <v>50.1</v>
      </c>
      <c r="F13" s="402">
        <v>50.1</v>
      </c>
      <c r="G13" s="611"/>
      <c r="H13" s="611"/>
      <c r="I13" s="611"/>
      <c r="J13" s="611"/>
    </row>
    <row r="14" spans="1:10" ht="14.5">
      <c r="A14" s="480"/>
      <c r="B14" s="455" t="s">
        <v>106</v>
      </c>
      <c r="C14" s="405">
        <v>49.9</v>
      </c>
      <c r="D14" s="405">
        <v>50</v>
      </c>
      <c r="E14" s="405">
        <v>49.9</v>
      </c>
      <c r="F14" s="404">
        <v>50.2</v>
      </c>
      <c r="G14" s="611"/>
      <c r="H14" s="611"/>
      <c r="I14" s="611"/>
      <c r="J14" s="611"/>
    </row>
    <row r="15" spans="1:10" ht="14.5">
      <c r="A15" s="480"/>
      <c r="B15" s="455" t="s">
        <v>107</v>
      </c>
      <c r="C15" s="405">
        <v>49.9</v>
      </c>
      <c r="D15" s="405">
        <v>50.1</v>
      </c>
      <c r="E15" s="405">
        <v>50.1</v>
      </c>
      <c r="F15" s="404">
        <v>50.4</v>
      </c>
      <c r="G15" s="611"/>
      <c r="H15" s="611"/>
      <c r="I15" s="611"/>
      <c r="J15" s="611"/>
    </row>
    <row r="16" spans="1:10" ht="14.5">
      <c r="A16" s="480"/>
      <c r="B16" s="455" t="s">
        <v>108</v>
      </c>
      <c r="C16" s="405">
        <v>50.1</v>
      </c>
      <c r="D16" s="405">
        <v>50.1</v>
      </c>
      <c r="E16" s="405">
        <v>50</v>
      </c>
      <c r="F16" s="404">
        <v>50.1</v>
      </c>
      <c r="G16" s="611"/>
      <c r="H16" s="611"/>
      <c r="I16" s="611"/>
      <c r="J16" s="611"/>
    </row>
    <row r="17" spans="1:10" ht="14.5">
      <c r="A17" s="480"/>
      <c r="B17" s="455" t="s">
        <v>109</v>
      </c>
      <c r="C17" s="405">
        <v>49.9</v>
      </c>
      <c r="D17" s="405">
        <v>50.2</v>
      </c>
      <c r="E17" s="405">
        <v>50.2</v>
      </c>
      <c r="F17" s="404">
        <v>50.2</v>
      </c>
      <c r="G17" s="611"/>
      <c r="H17" s="611"/>
      <c r="I17" s="611"/>
      <c r="J17" s="611"/>
    </row>
    <row r="18" spans="1:10" ht="14.5">
      <c r="A18" s="480"/>
      <c r="B18" s="455" t="s">
        <v>110</v>
      </c>
      <c r="C18" s="405">
        <v>49.9</v>
      </c>
      <c r="D18" s="405">
        <v>50</v>
      </c>
      <c r="E18" s="405">
        <v>49.9</v>
      </c>
      <c r="F18" s="404">
        <v>50</v>
      </c>
      <c r="G18" s="611"/>
      <c r="H18" s="611"/>
      <c r="I18" s="611"/>
      <c r="J18" s="611"/>
    </row>
    <row r="19" spans="1:10" ht="14.5">
      <c r="A19" s="480"/>
      <c r="B19" s="455" t="s">
        <v>117</v>
      </c>
      <c r="C19" s="405">
        <v>50.002684753749911</v>
      </c>
      <c r="D19" s="405">
        <v>50.029362170610263</v>
      </c>
      <c r="E19" s="405">
        <v>49.988889398062582</v>
      </c>
      <c r="F19" s="404">
        <v>50.058197577203913</v>
      </c>
      <c r="G19" s="611"/>
      <c r="H19" s="611"/>
      <c r="I19" s="611"/>
      <c r="J19" s="611"/>
    </row>
    <row r="20" spans="1:10" ht="14.5">
      <c r="A20" s="480"/>
      <c r="B20" s="455" t="s">
        <v>112</v>
      </c>
      <c r="C20" s="405">
        <v>49.5</v>
      </c>
      <c r="D20" s="405">
        <v>49.8</v>
      </c>
      <c r="E20" s="405">
        <v>49.8</v>
      </c>
      <c r="F20" s="404">
        <v>49.8</v>
      </c>
      <c r="G20" s="611"/>
      <c r="H20" s="611"/>
      <c r="I20" s="611"/>
      <c r="J20" s="611"/>
    </row>
    <row r="21" spans="1:10" ht="14.5">
      <c r="A21" s="480"/>
      <c r="B21" s="455" t="s">
        <v>113</v>
      </c>
      <c r="C21" s="405">
        <v>49.223991799417213</v>
      </c>
      <c r="D21" s="405">
        <v>49.568384703139714</v>
      </c>
      <c r="E21" s="405">
        <v>49.554579993876644</v>
      </c>
      <c r="F21" s="404">
        <v>49.470471171643453</v>
      </c>
      <c r="G21" s="611"/>
      <c r="H21" s="611"/>
      <c r="I21" s="611"/>
      <c r="J21" s="611"/>
    </row>
    <row r="22" spans="1:10" ht="14.5">
      <c r="A22" s="480"/>
      <c r="B22" s="455" t="s">
        <v>114</v>
      </c>
      <c r="C22" s="405">
        <v>49.6</v>
      </c>
      <c r="D22" s="405">
        <v>49.6</v>
      </c>
      <c r="E22" s="405">
        <v>49.6</v>
      </c>
      <c r="F22" s="404">
        <v>49.8</v>
      </c>
      <c r="G22" s="611"/>
      <c r="H22" s="611"/>
      <c r="I22" s="611"/>
      <c r="J22" s="611"/>
    </row>
    <row r="23" spans="1:10" ht="14.5">
      <c r="A23" s="472"/>
      <c r="B23" s="455" t="s">
        <v>115</v>
      </c>
      <c r="C23" s="405">
        <v>49.8</v>
      </c>
      <c r="D23" s="405">
        <v>49.7</v>
      </c>
      <c r="E23" s="405">
        <v>49.6</v>
      </c>
      <c r="F23" s="404">
        <v>50.1</v>
      </c>
      <c r="G23" s="611"/>
      <c r="H23" s="611"/>
      <c r="I23" s="611"/>
      <c r="J23" s="611"/>
    </row>
    <row r="24" spans="1:10" ht="14.5">
      <c r="A24" s="473"/>
      <c r="B24" s="456" t="s">
        <v>116</v>
      </c>
      <c r="C24" s="407">
        <v>49.935878622310902</v>
      </c>
      <c r="D24" s="407">
        <v>50.106498567207765</v>
      </c>
      <c r="E24" s="407">
        <v>49.955377879244168</v>
      </c>
      <c r="F24" s="407">
        <v>50.264678282788715</v>
      </c>
      <c r="G24" s="611"/>
      <c r="H24" s="611"/>
      <c r="I24" s="611"/>
      <c r="J24" s="611"/>
    </row>
    <row r="25" spans="1:10" ht="14.5">
      <c r="A25" s="471">
        <v>2022</v>
      </c>
      <c r="B25" s="454" t="s">
        <v>105</v>
      </c>
      <c r="C25" s="403">
        <v>50.053828892704075</v>
      </c>
      <c r="D25" s="403">
        <v>50.096532398906433</v>
      </c>
      <c r="E25" s="403">
        <v>50.171515098318466</v>
      </c>
      <c r="F25" s="403">
        <v>50.189435640482444</v>
      </c>
      <c r="G25" s="611"/>
      <c r="H25" s="611"/>
      <c r="I25" s="611"/>
      <c r="J25" s="611"/>
    </row>
    <row r="26" spans="1:10" ht="14.5">
      <c r="A26" s="472"/>
      <c r="B26" s="455" t="s">
        <v>106</v>
      </c>
      <c r="C26" s="405">
        <v>50.059713964721119</v>
      </c>
      <c r="D26" s="405">
        <v>49.978376215374951</v>
      </c>
      <c r="E26" s="405">
        <v>49.725779845337073</v>
      </c>
      <c r="F26" s="405">
        <v>49.831868481251142</v>
      </c>
      <c r="G26" s="611"/>
      <c r="H26" s="611"/>
      <c r="I26" s="611"/>
      <c r="J26" s="611"/>
    </row>
    <row r="27" spans="1:10" ht="14.5">
      <c r="A27" s="472"/>
      <c r="B27" s="455" t="s">
        <v>107</v>
      </c>
      <c r="C27" s="405">
        <v>49.801315733858672</v>
      </c>
      <c r="D27" s="405">
        <v>49.781389879035828</v>
      </c>
      <c r="E27" s="405">
        <v>49.746264359063304</v>
      </c>
      <c r="F27" s="405">
        <v>49.882666577513668</v>
      </c>
      <c r="G27" s="611"/>
      <c r="H27" s="611"/>
      <c r="I27" s="611"/>
      <c r="J27" s="611"/>
    </row>
    <row r="28" spans="1:10" ht="14.5">
      <c r="A28" s="472"/>
      <c r="B28" s="455" t="s">
        <v>108</v>
      </c>
      <c r="C28" s="405">
        <v>50.117793126074929</v>
      </c>
      <c r="D28" s="405">
        <v>49.947459758049838</v>
      </c>
      <c r="E28" s="405">
        <v>49.925073401494068</v>
      </c>
      <c r="F28" s="405">
        <v>50.212777330557202</v>
      </c>
      <c r="G28" s="611"/>
      <c r="H28" s="611"/>
      <c r="I28" s="611"/>
      <c r="J28" s="611"/>
    </row>
    <row r="29" spans="1:10" ht="14.5">
      <c r="A29" s="472"/>
      <c r="B29" s="455" t="s">
        <v>109</v>
      </c>
      <c r="C29" s="405">
        <v>49.96125575293329</v>
      </c>
      <c r="D29" s="405">
        <v>50.049111366297033</v>
      </c>
      <c r="E29" s="405">
        <v>50.193582397378144</v>
      </c>
      <c r="F29" s="405">
        <v>50.137444360594216</v>
      </c>
      <c r="G29" s="611"/>
      <c r="H29" s="611"/>
      <c r="I29" s="611"/>
      <c r="J29" s="611"/>
    </row>
    <row r="30" spans="1:10" ht="14.5">
      <c r="A30" s="472"/>
      <c r="B30" s="455" t="s">
        <v>110</v>
      </c>
      <c r="C30" s="405">
        <v>50.000681271128599</v>
      </c>
      <c r="D30" s="405">
        <v>50.008006302570436</v>
      </c>
      <c r="E30" s="405">
        <v>49.941616907272547</v>
      </c>
      <c r="F30" s="405">
        <v>50.302990663960088</v>
      </c>
      <c r="G30" s="611"/>
      <c r="H30" s="611"/>
      <c r="I30" s="611"/>
      <c r="J30" s="611"/>
    </row>
    <row r="31" spans="1:10" ht="14.5">
      <c r="A31" s="472"/>
      <c r="B31" s="455" t="s">
        <v>117</v>
      </c>
      <c r="C31" s="405">
        <v>49.950714788104818</v>
      </c>
      <c r="D31" s="405">
        <v>50.044385445845826</v>
      </c>
      <c r="E31" s="405">
        <v>49.951458001649613</v>
      </c>
      <c r="F31" s="405">
        <v>50.325738289671882</v>
      </c>
      <c r="G31" s="611"/>
      <c r="H31" s="611"/>
      <c r="I31" s="611"/>
      <c r="J31" s="611"/>
    </row>
    <row r="32" spans="1:10" ht="14.5">
      <c r="A32" s="472"/>
      <c r="B32" s="455" t="s">
        <v>112</v>
      </c>
      <c r="C32" s="405">
        <v>50.117948798841752</v>
      </c>
      <c r="D32" s="405">
        <v>49.993477877583523</v>
      </c>
      <c r="E32" s="405">
        <v>49.981755316952729</v>
      </c>
      <c r="F32" s="405">
        <v>49.998932490510491</v>
      </c>
      <c r="G32" s="611"/>
      <c r="H32" s="611"/>
      <c r="I32" s="611"/>
      <c r="J32" s="611"/>
    </row>
    <row r="33" spans="1:10" ht="14.5">
      <c r="A33" s="472"/>
      <c r="B33" s="455" t="s">
        <v>113</v>
      </c>
      <c r="C33" s="405">
        <v>50.108038495258086</v>
      </c>
      <c r="D33" s="405">
        <v>50.054806766954513</v>
      </c>
      <c r="E33" s="405">
        <v>49.963053878208207</v>
      </c>
      <c r="F33" s="405">
        <v>50.157353378455696</v>
      </c>
      <c r="G33" s="611"/>
      <c r="H33" s="611"/>
      <c r="I33" s="611"/>
      <c r="J33" s="611"/>
    </row>
    <row r="34" spans="1:10" ht="14.5">
      <c r="A34" s="472"/>
      <c r="B34" s="455" t="s">
        <v>114</v>
      </c>
      <c r="C34" s="405">
        <v>50.003184084097931</v>
      </c>
      <c r="D34" s="405">
        <v>49.929791513801142</v>
      </c>
      <c r="E34" s="405">
        <v>50.084627274946179</v>
      </c>
      <c r="F34" s="405">
        <v>50.004762588363526</v>
      </c>
      <c r="G34" s="611"/>
      <c r="H34" s="611"/>
      <c r="I34" s="611"/>
      <c r="J34" s="611"/>
    </row>
    <row r="35" spans="1:10" ht="14.5">
      <c r="A35" s="472"/>
      <c r="B35" s="455" t="s">
        <v>115</v>
      </c>
      <c r="C35" s="405">
        <v>49.945431501532553</v>
      </c>
      <c r="D35" s="405">
        <v>49.94287881381986</v>
      </c>
      <c r="E35" s="405">
        <v>50.226591914756732</v>
      </c>
      <c r="F35" s="405">
        <v>50.149583455273337</v>
      </c>
      <c r="G35" s="611"/>
      <c r="H35" s="611"/>
      <c r="I35" s="611"/>
      <c r="J35" s="611"/>
    </row>
    <row r="36" spans="1:10" ht="14.5">
      <c r="A36" s="473"/>
      <c r="B36" s="456" t="s">
        <v>116</v>
      </c>
      <c r="C36" s="407">
        <v>49.814635376541361</v>
      </c>
      <c r="D36" s="407">
        <v>49.930707364024052</v>
      </c>
      <c r="E36" s="407">
        <v>49.969648337948698</v>
      </c>
      <c r="F36" s="407">
        <v>50.088798130283216</v>
      </c>
      <c r="G36" s="611"/>
      <c r="H36" s="611"/>
      <c r="I36" s="611"/>
      <c r="J36" s="611"/>
    </row>
    <row r="37" spans="1:10" ht="14.5">
      <c r="A37" s="471">
        <v>2023</v>
      </c>
      <c r="B37" s="454" t="s">
        <v>105</v>
      </c>
      <c r="C37" s="403">
        <v>50.010317082788617</v>
      </c>
      <c r="D37" s="403">
        <v>50.02047260081266</v>
      </c>
      <c r="E37" s="403">
        <v>50.292407694847817</v>
      </c>
      <c r="F37" s="403">
        <v>49.994644454750251</v>
      </c>
      <c r="G37" s="611"/>
      <c r="H37" s="611"/>
      <c r="I37" s="611"/>
      <c r="J37" s="611"/>
    </row>
    <row r="38" spans="1:10" ht="14.5">
      <c r="A38" s="472"/>
      <c r="B38" s="455" t="s">
        <v>106</v>
      </c>
      <c r="C38" s="405">
        <v>50.260052587180311</v>
      </c>
      <c r="D38" s="405">
        <v>50.018634016839165</v>
      </c>
      <c r="E38" s="405">
        <v>49.855199706396803</v>
      </c>
      <c r="F38" s="405">
        <v>49.937301396546047</v>
      </c>
      <c r="G38" s="611"/>
      <c r="H38" s="611"/>
      <c r="I38" s="611"/>
      <c r="J38" s="611"/>
    </row>
    <row r="39" spans="1:10" ht="14.5">
      <c r="A39" s="472"/>
      <c r="B39" s="455" t="s">
        <v>107</v>
      </c>
      <c r="C39" s="405">
        <v>49.950808918984762</v>
      </c>
      <c r="D39" s="405">
        <v>50.091223979483225</v>
      </c>
      <c r="E39" s="405">
        <v>50.001717789968218</v>
      </c>
      <c r="F39" s="405">
        <v>50.147861127768735</v>
      </c>
      <c r="G39" s="611"/>
      <c r="H39" s="611"/>
      <c r="I39" s="611"/>
      <c r="J39" s="611"/>
    </row>
    <row r="40" spans="1:10" ht="14.5">
      <c r="A40" s="472"/>
      <c r="B40" s="455" t="s">
        <v>108</v>
      </c>
      <c r="C40" s="405">
        <v>49.871545696370589</v>
      </c>
      <c r="D40" s="405">
        <v>50.093585330650413</v>
      </c>
      <c r="E40" s="405">
        <v>50.236548042450167</v>
      </c>
      <c r="F40" s="405">
        <v>49.971880971932961</v>
      </c>
      <c r="G40" s="611"/>
      <c r="H40" s="611"/>
      <c r="I40" s="611"/>
      <c r="J40" s="611"/>
    </row>
    <row r="41" spans="1:10" ht="14.5">
      <c r="A41" s="472"/>
      <c r="B41" s="455" t="s">
        <v>109</v>
      </c>
      <c r="C41" s="405">
        <v>49.863984483819685</v>
      </c>
      <c r="D41" s="405">
        <v>50.065933687289416</v>
      </c>
      <c r="E41" s="405">
        <v>50.143390085877407</v>
      </c>
      <c r="F41" s="405">
        <v>50.042851039633348</v>
      </c>
      <c r="G41" s="611"/>
      <c r="H41" s="611"/>
      <c r="I41" s="611"/>
      <c r="J41" s="611"/>
    </row>
    <row r="42" spans="1:10" ht="14.5">
      <c r="A42" s="472"/>
      <c r="B42" s="455" t="s">
        <v>110</v>
      </c>
      <c r="C42" s="405">
        <v>50.118405640149305</v>
      </c>
      <c r="D42" s="405">
        <v>49.970750037526528</v>
      </c>
      <c r="E42" s="405">
        <v>49.996881390959189</v>
      </c>
      <c r="F42" s="405">
        <v>50.075882913139353</v>
      </c>
      <c r="G42" s="611"/>
      <c r="H42" s="611"/>
      <c r="I42" s="611"/>
      <c r="J42" s="611"/>
    </row>
    <row r="43" spans="1:10" ht="14.5">
      <c r="A43" s="472"/>
      <c r="B43" s="455" t="s">
        <v>117</v>
      </c>
      <c r="C43" s="405">
        <v>50.248965199848385</v>
      </c>
      <c r="D43" s="405">
        <v>50.003758192634074</v>
      </c>
      <c r="E43" s="405">
        <v>49.931776707371363</v>
      </c>
      <c r="F43" s="405">
        <v>50.283166147236528</v>
      </c>
      <c r="G43" s="611"/>
      <c r="H43" s="611"/>
      <c r="I43" s="611"/>
      <c r="J43" s="611"/>
    </row>
    <row r="44" spans="1:10" ht="14.5">
      <c r="A44" s="472"/>
      <c r="B44" s="455" t="s">
        <v>112</v>
      </c>
      <c r="C44" s="405">
        <v>50.2080886827599</v>
      </c>
      <c r="D44" s="405">
        <v>50.041508126577121</v>
      </c>
      <c r="E44" s="405">
        <v>50.076039275068432</v>
      </c>
      <c r="F44" s="405">
        <v>50.118241043531647</v>
      </c>
      <c r="G44" s="611"/>
      <c r="H44" s="611"/>
      <c r="I44" s="611"/>
      <c r="J44" s="611"/>
    </row>
    <row r="45" spans="1:10" ht="14.5">
      <c r="A45" s="472"/>
      <c r="B45" s="455" t="s">
        <v>113</v>
      </c>
      <c r="C45" s="405">
        <v>49.956773666457458</v>
      </c>
      <c r="D45" s="405">
        <v>50.067028490799068</v>
      </c>
      <c r="E45" s="405">
        <v>50.198656570713311</v>
      </c>
      <c r="F45" s="405">
        <v>50.112444370459727</v>
      </c>
      <c r="G45" s="611"/>
      <c r="H45" s="611"/>
      <c r="I45" s="611"/>
      <c r="J45" s="611"/>
    </row>
    <row r="46" spans="1:10" ht="14.5">
      <c r="A46" s="472"/>
      <c r="B46" s="455" t="s">
        <v>114</v>
      </c>
      <c r="C46" s="405">
        <v>50.110281517420916</v>
      </c>
      <c r="D46" s="405">
        <v>50.025659553621573</v>
      </c>
      <c r="E46" s="405">
        <v>49.929961125260753</v>
      </c>
      <c r="F46" s="405">
        <v>50.06805382729727</v>
      </c>
      <c r="G46" s="611"/>
      <c r="H46" s="611"/>
      <c r="I46" s="611"/>
      <c r="J46" s="611"/>
    </row>
    <row r="47" spans="1:10" ht="14.5">
      <c r="A47" s="472"/>
      <c r="B47" s="455" t="s">
        <v>115</v>
      </c>
      <c r="C47" s="405">
        <v>50.160917944740476</v>
      </c>
      <c r="D47" s="405">
        <v>49.999179537985071</v>
      </c>
      <c r="E47" s="405">
        <v>50.122665308670193</v>
      </c>
      <c r="F47" s="405">
        <v>50.008049921084506</v>
      </c>
      <c r="G47" s="611"/>
      <c r="H47" s="611"/>
      <c r="I47" s="611"/>
      <c r="J47" s="611"/>
    </row>
    <row r="48" spans="1:10" ht="14.5">
      <c r="A48" s="473"/>
      <c r="B48" s="456" t="s">
        <v>116</v>
      </c>
      <c r="C48" s="407">
        <v>49.842268540628609</v>
      </c>
      <c r="D48" s="407">
        <v>49.842943478729993</v>
      </c>
      <c r="E48" s="407">
        <v>49.809967028234119</v>
      </c>
      <c r="F48" s="407">
        <v>50.139718763573164</v>
      </c>
      <c r="G48" s="611"/>
      <c r="H48" s="611"/>
      <c r="I48" s="611"/>
      <c r="J48" s="611"/>
    </row>
    <row r="49" spans="1:10" ht="14.5">
      <c r="A49" s="471">
        <v>2024</v>
      </c>
      <c r="B49" s="454" t="s">
        <v>105</v>
      </c>
      <c r="C49" s="403">
        <v>49.929587416127987</v>
      </c>
      <c r="D49" s="403">
        <v>50.050359884673071</v>
      </c>
      <c r="E49" s="403">
        <v>50.449475956564079</v>
      </c>
      <c r="F49" s="403">
        <v>50.156356085230279</v>
      </c>
      <c r="G49" s="611"/>
      <c r="H49" s="611"/>
      <c r="I49" s="611"/>
      <c r="J49" s="611"/>
    </row>
    <row r="50" spans="1:10" ht="14.5">
      <c r="A50" s="472"/>
      <c r="B50" s="455" t="s">
        <v>106</v>
      </c>
      <c r="C50" s="405">
        <v>50.009008741671899</v>
      </c>
      <c r="D50" s="405">
        <v>49.871942154428964</v>
      </c>
      <c r="E50" s="405">
        <v>49.826274510351915</v>
      </c>
      <c r="F50" s="405">
        <v>49.993884312895702</v>
      </c>
      <c r="G50" s="611"/>
      <c r="H50" s="611"/>
      <c r="I50" s="611"/>
      <c r="J50" s="611"/>
    </row>
    <row r="51" spans="1:10" ht="14.5">
      <c r="A51" s="472"/>
      <c r="B51" s="455" t="s">
        <v>107</v>
      </c>
      <c r="C51" s="405">
        <v>49.928778713536573</v>
      </c>
      <c r="D51" s="405">
        <v>49.974994757816248</v>
      </c>
      <c r="E51" s="405">
        <v>50.006811403360167</v>
      </c>
      <c r="F51" s="405">
        <v>50.115371182329582</v>
      </c>
      <c r="G51" s="611"/>
      <c r="H51" s="611"/>
      <c r="I51" s="611"/>
      <c r="J51" s="611"/>
    </row>
    <row r="52" spans="1:10" ht="14.5">
      <c r="A52" s="472"/>
      <c r="B52" s="455" t="s">
        <v>108</v>
      </c>
      <c r="C52" s="632">
        <v>50.024057462308299</v>
      </c>
      <c r="D52" s="632">
        <v>50.044940635021703</v>
      </c>
      <c r="E52" s="632">
        <v>50.050168459275099</v>
      </c>
      <c r="F52" s="632">
        <v>49.838302372171555</v>
      </c>
      <c r="G52" s="611"/>
      <c r="H52" s="611"/>
      <c r="I52" s="611"/>
      <c r="J52" s="611"/>
    </row>
    <row r="53" spans="1:10" ht="14.5">
      <c r="A53" s="472"/>
      <c r="B53" s="455" t="s">
        <v>109</v>
      </c>
      <c r="C53" s="405">
        <v>49.985510461659977</v>
      </c>
      <c r="D53" s="405">
        <v>50.177599024335798</v>
      </c>
      <c r="E53" s="405">
        <v>50.007438702403618</v>
      </c>
      <c r="F53" s="405">
        <v>49.861836940723805</v>
      </c>
      <c r="G53" s="611"/>
      <c r="H53" s="611"/>
      <c r="I53" s="611"/>
      <c r="J53" s="611"/>
    </row>
    <row r="54" spans="1:10" ht="14.5">
      <c r="A54" s="472"/>
      <c r="B54" s="455" t="s">
        <v>110</v>
      </c>
      <c r="C54" s="405">
        <v>49.93046120322105</v>
      </c>
      <c r="D54" s="405">
        <v>50.230516535408682</v>
      </c>
      <c r="E54" s="405">
        <v>49.988867055424784</v>
      </c>
      <c r="F54" s="405">
        <v>49.954774201368544</v>
      </c>
      <c r="G54" s="611"/>
      <c r="H54" s="611"/>
      <c r="I54" s="611"/>
      <c r="J54" s="611"/>
    </row>
    <row r="55" spans="1:10" ht="14.5">
      <c r="A55" s="472"/>
      <c r="B55" s="455" t="s">
        <v>117</v>
      </c>
      <c r="C55" s="405">
        <v>49.998303191128279</v>
      </c>
      <c r="D55" s="405">
        <v>50.000097917074811</v>
      </c>
      <c r="E55" s="405">
        <v>50.006985185856529</v>
      </c>
      <c r="F55" s="405">
        <v>50.014273318832075</v>
      </c>
      <c r="G55" s="611"/>
      <c r="H55" s="611"/>
      <c r="I55" s="611"/>
      <c r="J55" s="611"/>
    </row>
    <row r="56" spans="1:10" ht="14.5">
      <c r="A56" s="472"/>
      <c r="B56" s="455" t="s">
        <v>112</v>
      </c>
      <c r="C56" s="405">
        <v>50.087151363561233</v>
      </c>
      <c r="D56" s="405">
        <v>50.014448803202512</v>
      </c>
      <c r="E56" s="405">
        <v>49.984298281568265</v>
      </c>
      <c r="F56" s="405">
        <v>50.21588030844773</v>
      </c>
      <c r="G56" s="611"/>
      <c r="H56" s="611"/>
      <c r="I56" s="611"/>
      <c r="J56" s="611"/>
    </row>
    <row r="57" spans="1:10" ht="14.5">
      <c r="A57" s="472"/>
      <c r="B57" s="455" t="s">
        <v>113</v>
      </c>
      <c r="C57" s="405">
        <v>49.968237626967984</v>
      </c>
      <c r="D57" s="405">
        <v>50.024060806024288</v>
      </c>
      <c r="E57" s="405">
        <v>49.985678409481835</v>
      </c>
      <c r="F57" s="405">
        <v>50.20863440755673</v>
      </c>
      <c r="G57" s="611"/>
      <c r="H57" s="611"/>
      <c r="I57" s="611"/>
      <c r="J57" s="611"/>
    </row>
    <row r="58" spans="1:10" ht="14.5">
      <c r="A58" s="472"/>
      <c r="B58" s="455" t="s">
        <v>114</v>
      </c>
      <c r="C58" s="405">
        <v>49.986573168884696</v>
      </c>
      <c r="D58" s="405">
        <v>49.504441332793469</v>
      </c>
      <c r="E58" s="405">
        <v>50.027010711157772</v>
      </c>
      <c r="F58" s="405">
        <v>50.2854899358952</v>
      </c>
      <c r="G58" s="611"/>
      <c r="H58" s="611"/>
      <c r="I58" s="611"/>
      <c r="J58" s="611"/>
    </row>
    <row r="59" spans="1:10" ht="14.5">
      <c r="A59" s="472"/>
      <c r="B59" s="455" t="s">
        <v>115</v>
      </c>
      <c r="C59" s="405">
        <v>50.052597067069335</v>
      </c>
      <c r="D59" s="405">
        <v>49.92668229910511</v>
      </c>
      <c r="E59" s="405">
        <v>49.999861580017601</v>
      </c>
      <c r="F59" s="405">
        <v>49.967062082968951</v>
      </c>
      <c r="G59" s="611"/>
      <c r="H59" s="611"/>
      <c r="I59" s="611"/>
      <c r="J59" s="611"/>
    </row>
    <row r="60" spans="1:10" ht="14.5">
      <c r="A60" s="473"/>
      <c r="B60" s="456" t="s">
        <v>116</v>
      </c>
      <c r="C60" s="407">
        <v>50.019639333440402</v>
      </c>
      <c r="D60" s="407">
        <v>49.994523162373433</v>
      </c>
      <c r="E60" s="407">
        <v>49.993002043441798</v>
      </c>
      <c r="F60" s="407">
        <v>50.013482644456928</v>
      </c>
      <c r="G60" s="611"/>
      <c r="H60" s="611"/>
      <c r="I60" s="611"/>
      <c r="J60" s="611"/>
    </row>
    <row r="61" spans="1:10" ht="14.5">
      <c r="A61" s="471">
        <v>2025</v>
      </c>
      <c r="B61" s="454" t="s">
        <v>105</v>
      </c>
      <c r="C61" s="403">
        <v>50.032094465778243</v>
      </c>
      <c r="D61" s="403">
        <v>50.003735580226682</v>
      </c>
      <c r="E61" s="403">
        <v>50.022656156888807</v>
      </c>
      <c r="F61" s="403">
        <v>50.316273472867131</v>
      </c>
      <c r="G61" s="611"/>
      <c r="H61" s="611"/>
      <c r="I61" s="611"/>
      <c r="J61" s="611"/>
    </row>
    <row r="62" spans="1:10" ht="14.5">
      <c r="A62" s="472"/>
      <c r="B62" s="455" t="s">
        <v>106</v>
      </c>
      <c r="C62" s="405">
        <v>49.963480770455099</v>
      </c>
      <c r="D62" s="405">
        <v>49.807711329541853</v>
      </c>
      <c r="E62" s="405">
        <v>49.972517374023361</v>
      </c>
      <c r="F62" s="405">
        <v>50.006348123942679</v>
      </c>
      <c r="G62" s="611"/>
      <c r="H62" s="611"/>
      <c r="I62" s="611"/>
      <c r="J62" s="611"/>
    </row>
    <row r="63" spans="1:10" ht="14.5">
      <c r="A63" s="472"/>
      <c r="B63" s="455" t="s">
        <v>107</v>
      </c>
      <c r="C63" s="405">
        <v>50.099185674715663</v>
      </c>
      <c r="D63" s="405">
        <v>49.940843025038689</v>
      </c>
      <c r="E63" s="405">
        <v>50.230085840962531</v>
      </c>
      <c r="F63" s="405">
        <v>49.888602138841847</v>
      </c>
      <c r="G63" s="611"/>
      <c r="H63" s="611"/>
      <c r="I63" s="611"/>
      <c r="J63" s="611"/>
    </row>
    <row r="64" spans="1:10" ht="14.5">
      <c r="A64" s="472"/>
      <c r="B64" s="455" t="s">
        <v>108</v>
      </c>
      <c r="C64" s="405">
        <v>49.9652754039139</v>
      </c>
      <c r="D64" s="405">
        <v>49.811920162481499</v>
      </c>
      <c r="E64" s="405">
        <v>50.223265837422993</v>
      </c>
      <c r="F64" s="405">
        <v>49.877196485796645</v>
      </c>
      <c r="G64" s="611"/>
      <c r="H64" s="611"/>
      <c r="I64" s="611"/>
      <c r="J64" s="611"/>
    </row>
    <row r="65" spans="1:10" ht="14.5">
      <c r="A65" s="472"/>
      <c r="B65" s="455" t="s">
        <v>109</v>
      </c>
      <c r="C65" s="405">
        <v>49.919009409350778</v>
      </c>
      <c r="D65" s="405">
        <v>49.798109375181291</v>
      </c>
      <c r="E65" s="405">
        <v>49.824324754423657</v>
      </c>
      <c r="F65" s="405">
        <v>49.728582364200875</v>
      </c>
      <c r="G65" s="611"/>
      <c r="H65" s="611"/>
      <c r="I65" s="611"/>
      <c r="J65" s="611"/>
    </row>
    <row r="66" spans="1:10" ht="14.5">
      <c r="A66" s="472"/>
      <c r="B66" s="455" t="s">
        <v>110</v>
      </c>
      <c r="C66" s="710">
        <v>50</v>
      </c>
      <c r="D66" s="710">
        <v>50.5</v>
      </c>
      <c r="E66" s="710">
        <v>50.2</v>
      </c>
      <c r="F66" s="710">
        <v>50</v>
      </c>
      <c r="G66" s="611"/>
      <c r="H66" s="611"/>
      <c r="I66" s="611"/>
      <c r="J66" s="611"/>
    </row>
    <row r="67" spans="1:10" ht="14.5">
      <c r="A67" s="472"/>
      <c r="B67" s="455" t="s">
        <v>117</v>
      </c>
      <c r="C67" s="710">
        <v>49.989360672048697</v>
      </c>
      <c r="D67" s="710">
        <v>49.982331680100302</v>
      </c>
      <c r="E67" s="710">
        <v>50.111884414999899</v>
      </c>
      <c r="F67" s="710">
        <v>50.314740844802799</v>
      </c>
      <c r="G67" s="611"/>
      <c r="H67" s="611"/>
      <c r="I67" s="611"/>
      <c r="J67" s="611"/>
    </row>
    <row r="68" spans="1:10" ht="14.5">
      <c r="A68" s="473"/>
      <c r="B68" s="456" t="s">
        <v>112</v>
      </c>
      <c r="C68" s="711">
        <v>49.989805748193298</v>
      </c>
      <c r="D68" s="711">
        <v>49.544061896017098</v>
      </c>
      <c r="E68" s="711">
        <v>49.932155298504497</v>
      </c>
      <c r="F68" s="711">
        <v>50.017551613214103</v>
      </c>
      <c r="G68" s="611"/>
      <c r="H68" s="611"/>
      <c r="I68" s="611"/>
      <c r="J68" s="611"/>
    </row>
    <row r="69" spans="1:10">
      <c r="A69" s="91"/>
      <c r="B69" s="91"/>
      <c r="C69" s="91"/>
      <c r="D69" s="91"/>
      <c r="E69" s="91"/>
      <c r="F69" s="91"/>
      <c r="G69" s="611"/>
      <c r="H69" s="611"/>
      <c r="I69" s="611"/>
      <c r="J69" s="611"/>
    </row>
    <row r="70" spans="1:10" ht="14.5">
      <c r="A70" s="869" t="s">
        <v>366</v>
      </c>
      <c r="B70" s="869"/>
      <c r="C70" s="869"/>
      <c r="D70" s="869"/>
      <c r="E70" s="869"/>
      <c r="F70" s="869"/>
      <c r="G70" s="611"/>
      <c r="H70" s="611"/>
      <c r="I70" s="611"/>
      <c r="J70" s="611"/>
    </row>
    <row r="71" spans="1:10" ht="14.5">
      <c r="A71" s="735" t="s">
        <v>98</v>
      </c>
      <c r="B71" s="739"/>
      <c r="C71" s="864" t="s">
        <v>361</v>
      </c>
      <c r="D71" s="865"/>
      <c r="E71" s="865"/>
      <c r="F71" s="866"/>
      <c r="G71" s="611"/>
      <c r="H71" s="611"/>
      <c r="I71" s="611"/>
      <c r="J71" s="611"/>
    </row>
    <row r="72" spans="1:10" ht="45" customHeight="1">
      <c r="A72" s="740"/>
      <c r="B72" s="741"/>
      <c r="C72" s="557" t="s">
        <v>362</v>
      </c>
      <c r="D72" s="557" t="s">
        <v>363</v>
      </c>
      <c r="E72" s="557" t="s">
        <v>364</v>
      </c>
      <c r="F72" s="556" t="s">
        <v>365</v>
      </c>
      <c r="G72" s="611"/>
      <c r="H72" s="611"/>
      <c r="I72" s="611"/>
      <c r="J72" s="611"/>
    </row>
    <row r="73" spans="1:10" ht="14.5">
      <c r="A73" s="471">
        <v>2020</v>
      </c>
      <c r="B73" s="453" t="s">
        <v>112</v>
      </c>
      <c r="C73" s="403">
        <v>50.028223299519254</v>
      </c>
      <c r="D73" s="403">
        <v>50.187611619236179</v>
      </c>
      <c r="E73" s="403">
        <v>50.302825630253004</v>
      </c>
      <c r="F73" s="402">
        <v>50.201899930964657</v>
      </c>
      <c r="G73" s="611"/>
      <c r="H73" s="611"/>
      <c r="I73" s="611"/>
      <c r="J73" s="611"/>
    </row>
    <row r="74" spans="1:10" ht="14.5">
      <c r="A74" s="472"/>
      <c r="B74" s="455" t="s">
        <v>113</v>
      </c>
      <c r="C74" s="405">
        <v>50.065196094197091</v>
      </c>
      <c r="D74" s="405">
        <v>50.236022843642282</v>
      </c>
      <c r="E74" s="405">
        <v>50.065057580668878</v>
      </c>
      <c r="F74" s="404">
        <v>50.095256834889419</v>
      </c>
      <c r="G74" s="611"/>
      <c r="H74" s="611"/>
      <c r="I74" s="611"/>
      <c r="J74" s="611"/>
    </row>
    <row r="75" spans="1:10" ht="14.5">
      <c r="A75" s="472"/>
      <c r="B75" s="455" t="s">
        <v>114</v>
      </c>
      <c r="C75" s="405">
        <v>50.124886834653736</v>
      </c>
      <c r="D75" s="405">
        <v>50.1889001378591</v>
      </c>
      <c r="E75" s="405">
        <v>50.046000923813381</v>
      </c>
      <c r="F75" s="404">
        <v>50.18999251347195</v>
      </c>
      <c r="G75" s="611"/>
      <c r="H75" s="611"/>
      <c r="I75" s="611"/>
      <c r="J75" s="611"/>
    </row>
    <row r="76" spans="1:10" ht="14.5">
      <c r="A76" s="472"/>
      <c r="B76" s="455" t="s">
        <v>115</v>
      </c>
      <c r="C76" s="405">
        <v>50.083264999768836</v>
      </c>
      <c r="D76" s="405">
        <v>50.244066796534511</v>
      </c>
      <c r="E76" s="405">
        <v>50.126324528355028</v>
      </c>
      <c r="F76" s="404">
        <v>50.274516044977368</v>
      </c>
      <c r="G76" s="611"/>
      <c r="H76" s="611"/>
      <c r="I76" s="611"/>
      <c r="J76" s="611"/>
    </row>
    <row r="77" spans="1:10" ht="14.5">
      <c r="A77" s="472"/>
      <c r="B77" s="456" t="s">
        <v>116</v>
      </c>
      <c r="C77" s="407">
        <v>50.095628402226545</v>
      </c>
      <c r="D77" s="407">
        <v>50.157907763623626</v>
      </c>
      <c r="E77" s="407">
        <v>50.162172621642824</v>
      </c>
      <c r="F77" s="406">
        <v>50.210920968842075</v>
      </c>
      <c r="G77" s="611"/>
      <c r="H77" s="611"/>
      <c r="I77" s="611"/>
      <c r="J77" s="611"/>
    </row>
    <row r="78" spans="1:10" ht="14.5">
      <c r="A78" s="631">
        <v>2021</v>
      </c>
      <c r="B78" s="454" t="s">
        <v>105</v>
      </c>
      <c r="C78" s="403">
        <v>50.088912734528151</v>
      </c>
      <c r="D78" s="403">
        <v>50.090406241534644</v>
      </c>
      <c r="E78" s="403">
        <v>50.032557580310531</v>
      </c>
      <c r="F78" s="402">
        <v>50.146176082060251</v>
      </c>
      <c r="G78" s="611"/>
      <c r="H78" s="611"/>
      <c r="I78" s="611"/>
      <c r="J78" s="611"/>
    </row>
    <row r="79" spans="1:10" ht="14.5">
      <c r="A79" s="480"/>
      <c r="B79" s="455" t="s">
        <v>106</v>
      </c>
      <c r="C79" s="405">
        <v>49.960036740770896</v>
      </c>
      <c r="D79" s="405">
        <v>50.306994073521409</v>
      </c>
      <c r="E79" s="405">
        <v>50.033375125055365</v>
      </c>
      <c r="F79" s="404">
        <v>50.303932264068365</v>
      </c>
      <c r="G79" s="611"/>
      <c r="H79" s="611"/>
      <c r="I79" s="611"/>
      <c r="J79" s="611"/>
    </row>
    <row r="80" spans="1:10" ht="14.5">
      <c r="A80" s="480"/>
      <c r="B80" s="455" t="s">
        <v>107</v>
      </c>
      <c r="C80" s="405">
        <v>50.229446437566395</v>
      </c>
      <c r="D80" s="405">
        <v>50.260479573620948</v>
      </c>
      <c r="E80" s="405">
        <v>50.043071419743107</v>
      </c>
      <c r="F80" s="404">
        <v>50.321276597653728</v>
      </c>
      <c r="G80" s="611"/>
      <c r="H80" s="611"/>
      <c r="I80" s="611"/>
      <c r="J80" s="611"/>
    </row>
    <row r="81" spans="1:10" ht="14.5">
      <c r="A81" s="480"/>
      <c r="B81" s="455" t="s">
        <v>108</v>
      </c>
      <c r="C81" s="405">
        <v>50.218582455452783</v>
      </c>
      <c r="D81" s="405">
        <v>50.229009984424351</v>
      </c>
      <c r="E81" s="405">
        <v>50.223562904419019</v>
      </c>
      <c r="F81" s="404">
        <v>50.130336853967897</v>
      </c>
      <c r="G81" s="611"/>
      <c r="H81" s="611"/>
      <c r="I81" s="611"/>
      <c r="J81" s="611"/>
    </row>
    <row r="82" spans="1:10" ht="14.5">
      <c r="A82" s="480"/>
      <c r="B82" s="455" t="s">
        <v>109</v>
      </c>
      <c r="C82" s="405">
        <v>50.217551353076182</v>
      </c>
      <c r="D82" s="405">
        <v>50.117909233204458</v>
      </c>
      <c r="E82" s="405">
        <v>49.953560798417008</v>
      </c>
      <c r="F82" s="404">
        <v>50.301431717784084</v>
      </c>
      <c r="G82" s="611"/>
      <c r="H82" s="611"/>
      <c r="I82" s="611"/>
      <c r="J82" s="611"/>
    </row>
    <row r="83" spans="1:10" ht="14.5">
      <c r="A83" s="480"/>
      <c r="B83" s="455" t="s">
        <v>110</v>
      </c>
      <c r="C83" s="405">
        <v>50.03808691097111</v>
      </c>
      <c r="D83" s="405">
        <v>50.309162593750486</v>
      </c>
      <c r="E83" s="405">
        <v>50.048682688899312</v>
      </c>
      <c r="F83" s="404">
        <v>50.162557903972541</v>
      </c>
      <c r="G83" s="611"/>
      <c r="H83" s="611"/>
      <c r="I83" s="611"/>
      <c r="J83" s="611"/>
    </row>
    <row r="84" spans="1:10" ht="14.5">
      <c r="A84" s="480"/>
      <c r="B84" s="455" t="s">
        <v>117</v>
      </c>
      <c r="C84" s="405">
        <v>50.09730170151483</v>
      </c>
      <c r="D84" s="405">
        <v>50.194042475732118</v>
      </c>
      <c r="E84" s="405">
        <v>50.079166366146467</v>
      </c>
      <c r="F84" s="404">
        <v>50.130599427866528</v>
      </c>
      <c r="G84" s="611"/>
      <c r="H84" s="611"/>
      <c r="I84" s="611"/>
      <c r="J84" s="611"/>
    </row>
    <row r="85" spans="1:10" ht="14.5">
      <c r="A85" s="480"/>
      <c r="B85" s="455" t="s">
        <v>112</v>
      </c>
      <c r="C85" s="405">
        <v>49.922376717203058</v>
      </c>
      <c r="D85" s="405">
        <v>49.940922862919969</v>
      </c>
      <c r="E85" s="405">
        <v>49.841566984074824</v>
      </c>
      <c r="F85" s="404">
        <v>49.707702161269076</v>
      </c>
      <c r="G85" s="611"/>
      <c r="H85" s="611"/>
      <c r="I85" s="611"/>
      <c r="J85" s="611"/>
    </row>
    <row r="86" spans="1:10" ht="14.5">
      <c r="A86" s="480"/>
      <c r="B86" s="455" t="s">
        <v>113</v>
      </c>
      <c r="C86" s="405">
        <v>49.721140052663664</v>
      </c>
      <c r="D86" s="405">
        <v>49.843735522584367</v>
      </c>
      <c r="E86" s="405">
        <v>49.701136017639506</v>
      </c>
      <c r="F86" s="404">
        <v>49.906712459281707</v>
      </c>
      <c r="G86" s="611"/>
      <c r="H86" s="611"/>
      <c r="I86" s="611"/>
      <c r="J86" s="611"/>
    </row>
    <row r="87" spans="1:10" ht="14.5">
      <c r="A87" s="480"/>
      <c r="B87" s="455" t="s">
        <v>114</v>
      </c>
      <c r="C87" s="405">
        <v>49.911722743686987</v>
      </c>
      <c r="D87" s="405">
        <v>49.860477293692874</v>
      </c>
      <c r="E87" s="405">
        <v>50.017927695486506</v>
      </c>
      <c r="F87" s="404">
        <v>49.785126390689101</v>
      </c>
      <c r="G87" s="611"/>
      <c r="H87" s="611"/>
      <c r="I87" s="611"/>
      <c r="J87" s="611"/>
    </row>
    <row r="88" spans="1:10" ht="14.5">
      <c r="A88" s="472"/>
      <c r="B88" s="455" t="s">
        <v>115</v>
      </c>
      <c r="C88" s="405">
        <v>50.147045300408081</v>
      </c>
      <c r="D88" s="405">
        <v>50.147053727355541</v>
      </c>
      <c r="E88" s="405">
        <v>50.149602490387096</v>
      </c>
      <c r="F88" s="404">
        <v>50.432973852267942</v>
      </c>
      <c r="G88" s="611"/>
      <c r="H88" s="611"/>
      <c r="I88" s="611"/>
      <c r="J88" s="611"/>
    </row>
    <row r="89" spans="1:10" ht="14.5">
      <c r="A89" s="481"/>
      <c r="B89" s="456" t="s">
        <v>116</v>
      </c>
      <c r="C89" s="407">
        <v>50.16157576343069</v>
      </c>
      <c r="D89" s="407">
        <v>50.352244435386673</v>
      </c>
      <c r="E89" s="407">
        <v>50.141752036678334</v>
      </c>
      <c r="F89" s="406">
        <v>50.182329229097583</v>
      </c>
      <c r="G89" s="611"/>
      <c r="H89" s="611"/>
      <c r="I89" s="611"/>
      <c r="J89" s="611"/>
    </row>
    <row r="90" spans="1:10" ht="14.5">
      <c r="A90" s="471">
        <v>2022</v>
      </c>
      <c r="B90" s="454" t="s">
        <v>105</v>
      </c>
      <c r="C90" s="403">
        <v>50.060590608213637</v>
      </c>
      <c r="D90" s="403">
        <v>50.124379337712682</v>
      </c>
      <c r="E90" s="403">
        <v>49.972336784802536</v>
      </c>
      <c r="F90" s="403">
        <v>50.249217583670941</v>
      </c>
      <c r="G90" s="611"/>
      <c r="H90" s="611"/>
      <c r="I90" s="611"/>
      <c r="J90" s="611"/>
    </row>
    <row r="91" spans="1:10" ht="14.5">
      <c r="A91" s="472"/>
      <c r="B91" s="455" t="s">
        <v>106</v>
      </c>
      <c r="C91" s="405">
        <v>50.111858153968008</v>
      </c>
      <c r="D91" s="405">
        <v>50.139925040440538</v>
      </c>
      <c r="E91" s="405">
        <v>50.139404519024957</v>
      </c>
      <c r="F91" s="405">
        <v>50.21707493653588</v>
      </c>
      <c r="G91" s="611"/>
      <c r="H91" s="611"/>
      <c r="I91" s="611"/>
      <c r="J91" s="611"/>
    </row>
    <row r="92" spans="1:10" ht="14.5">
      <c r="A92" s="472"/>
      <c r="B92" s="455" t="s">
        <v>107</v>
      </c>
      <c r="C92" s="405">
        <v>50.223787802150575</v>
      </c>
      <c r="D92" s="405">
        <v>50.114198542911161</v>
      </c>
      <c r="E92" s="405">
        <v>50.136165391147408</v>
      </c>
      <c r="F92" s="405">
        <v>50.304024973558981</v>
      </c>
      <c r="G92" s="611"/>
      <c r="H92" s="611"/>
      <c r="I92" s="611"/>
      <c r="J92" s="611"/>
    </row>
    <row r="93" spans="1:10" ht="14.5">
      <c r="A93" s="472"/>
      <c r="B93" s="455" t="s">
        <v>108</v>
      </c>
      <c r="C93" s="405">
        <v>50.405213814987292</v>
      </c>
      <c r="D93" s="405">
        <v>50.215909351783253</v>
      </c>
      <c r="E93" s="405">
        <v>50.147677196356462</v>
      </c>
      <c r="F93" s="405">
        <v>50.417764281162867</v>
      </c>
      <c r="G93" s="611"/>
      <c r="H93" s="611"/>
      <c r="I93" s="611"/>
      <c r="J93" s="611"/>
    </row>
    <row r="94" spans="1:10" ht="14.5">
      <c r="A94" s="472"/>
      <c r="B94" s="455" t="s">
        <v>109</v>
      </c>
      <c r="C94" s="405">
        <v>50.247409478518144</v>
      </c>
      <c r="D94" s="405">
        <v>50.140753047703406</v>
      </c>
      <c r="E94" s="405">
        <v>50.108616630359812</v>
      </c>
      <c r="F94" s="405">
        <v>50.336202514525304</v>
      </c>
      <c r="G94" s="611"/>
      <c r="H94" s="611"/>
      <c r="I94" s="611"/>
      <c r="J94" s="611"/>
    </row>
    <row r="95" spans="1:10" ht="14.5">
      <c r="A95" s="472"/>
      <c r="B95" s="455" t="s">
        <v>110</v>
      </c>
      <c r="C95" s="405">
        <v>50.305643413778618</v>
      </c>
      <c r="D95" s="405">
        <v>50.157822340451801</v>
      </c>
      <c r="E95" s="405">
        <v>50.079677246063113</v>
      </c>
      <c r="F95" s="405">
        <v>50.212056843521708</v>
      </c>
      <c r="G95" s="611"/>
      <c r="H95" s="611"/>
      <c r="I95" s="611"/>
      <c r="J95" s="611"/>
    </row>
    <row r="96" spans="1:10" ht="14.5">
      <c r="A96" s="472"/>
      <c r="B96" s="455" t="s">
        <v>117</v>
      </c>
      <c r="C96" s="405">
        <v>50.052264245486604</v>
      </c>
      <c r="D96" s="405">
        <v>50.099662371950537</v>
      </c>
      <c r="E96" s="405">
        <v>49.907024938163403</v>
      </c>
      <c r="F96" s="405">
        <v>50.306995863708856</v>
      </c>
      <c r="G96" s="611"/>
      <c r="H96" s="611"/>
      <c r="I96" s="611"/>
      <c r="J96" s="611"/>
    </row>
    <row r="97" spans="1:10" ht="14.5">
      <c r="A97" s="472"/>
      <c r="B97" s="455" t="s">
        <v>112</v>
      </c>
      <c r="C97" s="405">
        <v>50.129383227916612</v>
      </c>
      <c r="D97" s="405">
        <v>50.114719394420213</v>
      </c>
      <c r="E97" s="405">
        <v>50.074882191896208</v>
      </c>
      <c r="F97" s="405">
        <v>50.274162104878982</v>
      </c>
      <c r="G97" s="611"/>
      <c r="H97" s="611"/>
      <c r="I97" s="611"/>
      <c r="J97" s="611"/>
    </row>
    <row r="98" spans="1:10" ht="14.5">
      <c r="A98" s="472"/>
      <c r="B98" s="455" t="s">
        <v>113</v>
      </c>
      <c r="C98" s="405">
        <v>50.123434266541679</v>
      </c>
      <c r="D98" s="405">
        <v>50.086921657882357</v>
      </c>
      <c r="E98" s="405">
        <v>50.257974438741634</v>
      </c>
      <c r="F98" s="405">
        <v>50.10167321032457</v>
      </c>
      <c r="G98" s="611"/>
      <c r="H98" s="611"/>
      <c r="I98" s="611"/>
      <c r="J98" s="611"/>
    </row>
    <row r="99" spans="1:10" ht="14.5">
      <c r="A99" s="472"/>
      <c r="B99" s="455" t="s">
        <v>114</v>
      </c>
      <c r="C99" s="405">
        <v>50.162055923637844</v>
      </c>
      <c r="D99" s="405">
        <v>50.127071684708966</v>
      </c>
      <c r="E99" s="405">
        <v>50.083889202296923</v>
      </c>
      <c r="F99" s="405">
        <v>50.248029483670734</v>
      </c>
      <c r="G99" s="611"/>
      <c r="H99" s="611"/>
      <c r="I99" s="611"/>
      <c r="J99" s="611"/>
    </row>
    <row r="100" spans="1:10" ht="14.5">
      <c r="A100" s="472"/>
      <c r="B100" s="455" t="s">
        <v>115</v>
      </c>
      <c r="C100" s="405">
        <v>50.212559283783811</v>
      </c>
      <c r="D100" s="405">
        <v>50.117913474985137</v>
      </c>
      <c r="E100" s="405">
        <v>50.185822005495396</v>
      </c>
      <c r="F100" s="405">
        <v>50.300295088693026</v>
      </c>
      <c r="G100" s="611"/>
      <c r="H100" s="611"/>
      <c r="I100" s="611"/>
      <c r="J100" s="611"/>
    </row>
    <row r="101" spans="1:10" ht="14.5">
      <c r="A101" s="473"/>
      <c r="B101" s="456" t="s">
        <v>116</v>
      </c>
      <c r="C101" s="407">
        <v>50.36573396995508</v>
      </c>
      <c r="D101" s="407">
        <v>50.171385547043471</v>
      </c>
      <c r="E101" s="407">
        <v>50.337531422489761</v>
      </c>
      <c r="F101" s="407">
        <v>50.002243115281615</v>
      </c>
      <c r="G101" s="611"/>
      <c r="H101" s="611"/>
      <c r="I101" s="611"/>
      <c r="J101" s="611"/>
    </row>
    <row r="102" spans="1:10" ht="14.5">
      <c r="A102" s="471">
        <v>2023</v>
      </c>
      <c r="B102" s="454" t="s">
        <v>105</v>
      </c>
      <c r="C102" s="403">
        <v>50.174719167845808</v>
      </c>
      <c r="D102" s="403">
        <v>50.11684967933698</v>
      </c>
      <c r="E102" s="403">
        <v>50.042174063219164</v>
      </c>
      <c r="F102" s="403">
        <v>50.071750650438403</v>
      </c>
      <c r="G102" s="611"/>
      <c r="H102" s="611"/>
      <c r="I102" s="611"/>
      <c r="J102" s="611"/>
    </row>
    <row r="103" spans="1:10" ht="14.5">
      <c r="A103" s="472"/>
      <c r="B103" s="455" t="s">
        <v>106</v>
      </c>
      <c r="C103" s="405">
        <v>50.279909642041808</v>
      </c>
      <c r="D103" s="405">
        <v>50.183343895514078</v>
      </c>
      <c r="E103" s="405">
        <v>50.195561011764148</v>
      </c>
      <c r="F103" s="405">
        <v>50.232837518324772</v>
      </c>
      <c r="G103" s="611"/>
      <c r="H103" s="611"/>
      <c r="I103" s="611"/>
      <c r="J103" s="611"/>
    </row>
    <row r="104" spans="1:10" ht="14.5">
      <c r="A104" s="472"/>
      <c r="B104" s="455" t="s">
        <v>107</v>
      </c>
      <c r="C104" s="405">
        <v>50.132017190947415</v>
      </c>
      <c r="D104" s="405">
        <v>50.12787470029145</v>
      </c>
      <c r="E104" s="405">
        <v>50.186214331438286</v>
      </c>
      <c r="F104" s="405">
        <v>49.998259517696148</v>
      </c>
      <c r="G104" s="611"/>
      <c r="H104" s="611"/>
      <c r="I104" s="611"/>
      <c r="J104" s="611"/>
    </row>
    <row r="105" spans="1:10" ht="14.5">
      <c r="A105" s="472"/>
      <c r="B105" s="455" t="s">
        <v>108</v>
      </c>
      <c r="C105" s="405">
        <v>50.159664202505212</v>
      </c>
      <c r="D105" s="405">
        <v>50.106090292159926</v>
      </c>
      <c r="E105" s="405">
        <v>50.073727114302429</v>
      </c>
      <c r="F105" s="405">
        <v>50.192225415520198</v>
      </c>
      <c r="G105" s="611"/>
      <c r="H105" s="611"/>
      <c r="I105" s="611"/>
      <c r="J105" s="611"/>
    </row>
    <row r="106" spans="1:10" ht="14.5">
      <c r="A106" s="472"/>
      <c r="B106" s="455" t="s">
        <v>109</v>
      </c>
      <c r="C106" s="405">
        <v>50.076134488155219</v>
      </c>
      <c r="D106" s="405">
        <v>50.058833025293843</v>
      </c>
      <c r="E106" s="405">
        <v>50.143930689153386</v>
      </c>
      <c r="F106" s="405">
        <v>50.079089905638327</v>
      </c>
      <c r="G106" s="611"/>
      <c r="H106" s="611"/>
      <c r="I106" s="611"/>
      <c r="J106" s="611"/>
    </row>
    <row r="107" spans="1:10" ht="14.5">
      <c r="A107" s="472"/>
      <c r="B107" s="455" t="s">
        <v>110</v>
      </c>
      <c r="C107" s="405">
        <v>50.169396469658132</v>
      </c>
      <c r="D107" s="405">
        <v>50.129540344838773</v>
      </c>
      <c r="E107" s="405">
        <v>50.198419782980423</v>
      </c>
      <c r="F107" s="405">
        <v>50.301230687287635</v>
      </c>
      <c r="G107" s="611"/>
      <c r="H107" s="611"/>
      <c r="I107" s="611"/>
      <c r="J107" s="611"/>
    </row>
    <row r="108" spans="1:10" ht="14.5">
      <c r="A108" s="472"/>
      <c r="B108" s="455" t="s">
        <v>117</v>
      </c>
      <c r="C108" s="405">
        <v>50.060721104750328</v>
      </c>
      <c r="D108" s="405">
        <v>50.146804641658726</v>
      </c>
      <c r="E108" s="405">
        <v>50.154762225064353</v>
      </c>
      <c r="F108" s="405">
        <v>50.270897096796261</v>
      </c>
      <c r="G108" s="611"/>
      <c r="H108" s="611"/>
      <c r="I108" s="611"/>
      <c r="J108" s="611"/>
    </row>
    <row r="109" spans="1:10" ht="14.5">
      <c r="A109" s="472"/>
      <c r="B109" s="455" t="s">
        <v>112</v>
      </c>
      <c r="C109" s="405">
        <v>50.270308120590215</v>
      </c>
      <c r="D109" s="405">
        <v>50.205062165676949</v>
      </c>
      <c r="E109" s="405">
        <v>50.288590016212297</v>
      </c>
      <c r="F109" s="405">
        <v>50.197257365282248</v>
      </c>
      <c r="G109" s="611"/>
      <c r="H109" s="611"/>
      <c r="I109" s="611"/>
      <c r="J109" s="611"/>
    </row>
    <row r="110" spans="1:10" ht="14.5">
      <c r="A110" s="472"/>
      <c r="B110" s="455" t="s">
        <v>113</v>
      </c>
      <c r="C110" s="405">
        <v>50.076440392569786</v>
      </c>
      <c r="D110" s="405">
        <v>50.08744335867204</v>
      </c>
      <c r="E110" s="405">
        <v>50.260220463384144</v>
      </c>
      <c r="F110" s="405">
        <v>50.149534069535356</v>
      </c>
      <c r="G110" s="611"/>
      <c r="H110" s="611"/>
      <c r="I110" s="611"/>
      <c r="J110" s="611"/>
    </row>
    <row r="111" spans="1:10" ht="14.5">
      <c r="A111" s="472"/>
      <c r="B111" s="455" t="s">
        <v>114</v>
      </c>
      <c r="C111" s="405">
        <v>50.19514091833048</v>
      </c>
      <c r="D111" s="405">
        <v>50.134101672653287</v>
      </c>
      <c r="E111" s="405">
        <v>50.140533811653839</v>
      </c>
      <c r="F111" s="405">
        <v>49.981015207404724</v>
      </c>
      <c r="G111" s="611"/>
      <c r="H111" s="611"/>
      <c r="I111" s="611"/>
      <c r="J111" s="611"/>
    </row>
    <row r="112" spans="1:10" ht="14.5">
      <c r="A112" s="472"/>
      <c r="B112" s="455" t="s">
        <v>115</v>
      </c>
      <c r="C112" s="405">
        <v>49.973181207724082</v>
      </c>
      <c r="D112" s="405">
        <v>49.991520800909548</v>
      </c>
      <c r="E112" s="405">
        <v>50.073415652343208</v>
      </c>
      <c r="F112" s="405">
        <v>50.105755162054237</v>
      </c>
      <c r="G112" s="611"/>
      <c r="H112" s="611"/>
      <c r="I112" s="611"/>
      <c r="J112" s="611"/>
    </row>
    <row r="113" spans="1:10" ht="14.5">
      <c r="A113" s="473"/>
      <c r="B113" s="456" t="s">
        <v>116</v>
      </c>
      <c r="C113" s="407">
        <v>50.268094608670673</v>
      </c>
      <c r="D113" s="407">
        <v>50.220794094638848</v>
      </c>
      <c r="E113" s="407">
        <v>50.466778041116733</v>
      </c>
      <c r="F113" s="407">
        <v>50.230750592729557</v>
      </c>
      <c r="G113" s="611"/>
      <c r="H113" s="611"/>
      <c r="I113" s="611"/>
      <c r="J113" s="611"/>
    </row>
    <row r="114" spans="1:10" ht="14.5">
      <c r="A114" s="471">
        <v>2024</v>
      </c>
      <c r="B114" s="454" t="s">
        <v>105</v>
      </c>
      <c r="C114" s="403">
        <v>49.87004952620677</v>
      </c>
      <c r="D114" s="403">
        <v>50.116459928081106</v>
      </c>
      <c r="E114" s="403">
        <v>50.05333179865913</v>
      </c>
      <c r="F114" s="403">
        <v>49.927438156357063</v>
      </c>
      <c r="G114" s="611"/>
      <c r="H114" s="611"/>
      <c r="I114" s="611"/>
      <c r="J114" s="611"/>
    </row>
    <row r="115" spans="1:10" ht="14.5">
      <c r="A115" s="472"/>
      <c r="B115" s="455" t="s">
        <v>106</v>
      </c>
      <c r="C115" s="405">
        <v>50.212079937382178</v>
      </c>
      <c r="D115" s="405">
        <v>50.053747640606467</v>
      </c>
      <c r="E115" s="405">
        <v>50.116960711659537</v>
      </c>
      <c r="F115" s="405">
        <v>50.18495063921349</v>
      </c>
      <c r="G115" s="611"/>
      <c r="H115" s="611"/>
      <c r="I115" s="611"/>
      <c r="J115" s="611"/>
    </row>
    <row r="116" spans="1:10" ht="14.5">
      <c r="A116" s="472"/>
      <c r="B116" s="455" t="s">
        <v>107</v>
      </c>
      <c r="C116" s="405">
        <v>50.218057657895201</v>
      </c>
      <c r="D116" s="405">
        <v>50.179705834263181</v>
      </c>
      <c r="E116" s="405">
        <v>50.235206773016799</v>
      </c>
      <c r="F116" s="405">
        <v>50.124498747692755</v>
      </c>
      <c r="G116" s="611"/>
      <c r="H116" s="611"/>
      <c r="I116" s="611"/>
      <c r="J116" s="611"/>
    </row>
    <row r="117" spans="1:10" ht="14.5">
      <c r="A117" s="472"/>
      <c r="B117" s="455" t="s">
        <v>108</v>
      </c>
      <c r="C117" s="632">
        <v>50.025899461453918</v>
      </c>
      <c r="D117" s="632">
        <v>49.797554504691206</v>
      </c>
      <c r="E117" s="632">
        <v>50.020232689185463</v>
      </c>
      <c r="F117" s="632">
        <v>50.178775949875849</v>
      </c>
      <c r="G117" s="611"/>
      <c r="H117" s="611"/>
      <c r="I117" s="611"/>
      <c r="J117" s="611"/>
    </row>
    <row r="118" spans="1:10" ht="14.5">
      <c r="A118" s="472"/>
      <c r="B118" s="455" t="s">
        <v>109</v>
      </c>
      <c r="C118" s="405">
        <v>49.996213754411336</v>
      </c>
      <c r="D118" s="405">
        <v>50.260916339123028</v>
      </c>
      <c r="E118" s="405">
        <v>50.040549942725896</v>
      </c>
      <c r="F118" s="405">
        <v>50.155626482239391</v>
      </c>
      <c r="G118" s="611"/>
      <c r="H118" s="611"/>
      <c r="I118" s="611"/>
      <c r="J118" s="611"/>
    </row>
    <row r="119" spans="1:10" ht="14.5">
      <c r="A119" s="472"/>
      <c r="B119" s="455" t="s">
        <v>110</v>
      </c>
      <c r="C119" s="405">
        <v>50.008631684011434</v>
      </c>
      <c r="D119" s="405">
        <v>50.043846439607947</v>
      </c>
      <c r="E119" s="405">
        <v>50.027367164137623</v>
      </c>
      <c r="F119" s="405">
        <v>49.968121534655793</v>
      </c>
      <c r="G119" s="611"/>
      <c r="H119" s="611"/>
      <c r="I119" s="611"/>
      <c r="J119" s="611"/>
    </row>
    <row r="120" spans="1:10" ht="14.5">
      <c r="A120" s="472"/>
      <c r="B120" s="455" t="s">
        <v>117</v>
      </c>
      <c r="C120" s="405">
        <v>50.1</v>
      </c>
      <c r="D120" s="405">
        <v>49.6</v>
      </c>
      <c r="E120" s="405">
        <v>49.4</v>
      </c>
      <c r="F120" s="405">
        <v>50.3</v>
      </c>
      <c r="G120" s="611"/>
      <c r="H120" s="611"/>
      <c r="I120" s="611"/>
      <c r="J120" s="611"/>
    </row>
    <row r="121" spans="1:10" ht="14.5">
      <c r="A121" s="472"/>
      <c r="B121" s="455" t="s">
        <v>112</v>
      </c>
      <c r="C121" s="405">
        <v>49.998980335109742</v>
      </c>
      <c r="D121" s="405">
        <v>50.511751190180192</v>
      </c>
      <c r="E121" s="405">
        <v>50.043966490757583</v>
      </c>
      <c r="F121" s="405">
        <v>50.263790404723217</v>
      </c>
      <c r="G121" s="611"/>
      <c r="H121" s="611"/>
      <c r="I121" s="611"/>
      <c r="J121" s="611"/>
    </row>
    <row r="122" spans="1:10" ht="14.5">
      <c r="A122" s="472"/>
      <c r="B122" s="455" t="s">
        <v>113</v>
      </c>
      <c r="C122" s="405">
        <v>50.048700060020089</v>
      </c>
      <c r="D122" s="405">
        <v>50.016436881209408</v>
      </c>
      <c r="E122" s="405">
        <v>50.04410566062942</v>
      </c>
      <c r="F122" s="405">
        <v>50.137177218922545</v>
      </c>
      <c r="G122" s="611"/>
      <c r="H122" s="611"/>
      <c r="I122" s="611"/>
      <c r="J122" s="611"/>
    </row>
    <row r="123" spans="1:10" ht="14.5">
      <c r="A123" s="472"/>
      <c r="B123" s="455" t="s">
        <v>114</v>
      </c>
      <c r="C123" s="405">
        <v>50.096746008479222</v>
      </c>
      <c r="D123" s="405">
        <v>50.023192283642295</v>
      </c>
      <c r="E123" s="405">
        <v>50.017776073207223</v>
      </c>
      <c r="F123" s="405">
        <v>50.061138157283679</v>
      </c>
      <c r="G123" s="611"/>
      <c r="H123" s="611"/>
      <c r="I123" s="611"/>
      <c r="J123" s="611"/>
    </row>
    <row r="124" spans="1:10" ht="14.5">
      <c r="A124" s="472"/>
      <c r="B124" s="455" t="s">
        <v>115</v>
      </c>
      <c r="C124" s="405">
        <v>49.985207396705881</v>
      </c>
      <c r="D124" s="405">
        <v>50.00770936945527</v>
      </c>
      <c r="E124" s="405">
        <v>50.03723585980498</v>
      </c>
      <c r="F124" s="405">
        <v>50.024920965028599</v>
      </c>
      <c r="G124" s="611"/>
      <c r="H124" s="611"/>
      <c r="I124" s="611"/>
      <c r="J124" s="611"/>
    </row>
    <row r="125" spans="1:10" ht="14.5">
      <c r="A125" s="473"/>
      <c r="B125" s="456" t="s">
        <v>116</v>
      </c>
      <c r="C125" s="407">
        <v>50</v>
      </c>
      <c r="D125" s="407">
        <v>50</v>
      </c>
      <c r="E125" s="407">
        <v>50.1</v>
      </c>
      <c r="F125" s="407">
        <v>50.4</v>
      </c>
      <c r="G125" s="611"/>
      <c r="H125" s="611"/>
      <c r="I125" s="611"/>
      <c r="J125" s="611"/>
    </row>
    <row r="126" spans="1:10" ht="14.5">
      <c r="A126" s="471">
        <v>2025</v>
      </c>
      <c r="B126" s="454" t="s">
        <v>105</v>
      </c>
      <c r="C126" s="403">
        <v>49.994447193247545</v>
      </c>
      <c r="D126" s="403">
        <v>50.024409527795349</v>
      </c>
      <c r="E126" s="403">
        <v>49.99868905179148</v>
      </c>
      <c r="F126" s="403">
        <v>50.343211690438714</v>
      </c>
      <c r="G126" s="611"/>
      <c r="H126" s="611"/>
      <c r="I126" s="611"/>
      <c r="J126" s="611"/>
    </row>
    <row r="127" spans="1:10" ht="14.5">
      <c r="A127" s="472"/>
      <c r="B127" s="455" t="s">
        <v>106</v>
      </c>
      <c r="C127" s="405">
        <v>50.048536958250537</v>
      </c>
      <c r="D127" s="405">
        <v>50.050682769162528</v>
      </c>
      <c r="E127" s="405">
        <v>50.057744760849708</v>
      </c>
      <c r="F127" s="405">
        <v>50.333031239067473</v>
      </c>
      <c r="G127" s="611"/>
      <c r="H127" s="611"/>
      <c r="I127" s="611"/>
      <c r="J127" s="611"/>
    </row>
    <row r="128" spans="1:10" ht="14.5">
      <c r="A128" s="472"/>
      <c r="B128" s="455" t="s">
        <v>107</v>
      </c>
      <c r="C128" s="405">
        <v>49.987813461857733</v>
      </c>
      <c r="D128" s="405">
        <v>49.879507321278801</v>
      </c>
      <c r="E128" s="405">
        <v>49.824783317380117</v>
      </c>
      <c r="F128" s="405">
        <v>50.302968727340918</v>
      </c>
      <c r="G128" s="611"/>
      <c r="H128" s="611"/>
      <c r="I128" s="611"/>
      <c r="J128" s="611"/>
    </row>
    <row r="129" spans="1:10" ht="14.5">
      <c r="A129" s="472"/>
      <c r="B129" s="455" t="s">
        <v>108</v>
      </c>
      <c r="C129" s="405">
        <v>50.037951999696851</v>
      </c>
      <c r="D129" s="405">
        <v>50.260346499649025</v>
      </c>
      <c r="E129" s="405">
        <v>49.777316031548686</v>
      </c>
      <c r="F129" s="405">
        <v>50.107433838274474</v>
      </c>
      <c r="G129" s="611"/>
      <c r="H129" s="611"/>
      <c r="I129" s="611"/>
      <c r="J129" s="611"/>
    </row>
    <row r="130" spans="1:10" ht="14.5">
      <c r="A130" s="472"/>
      <c r="B130" s="455" t="s">
        <v>109</v>
      </c>
      <c r="C130" s="405">
        <v>49.992225657656491</v>
      </c>
      <c r="D130" s="405">
        <v>50.041969679983914</v>
      </c>
      <c r="E130" s="405">
        <v>50.303694359227606</v>
      </c>
      <c r="F130" s="405">
        <v>50.353965306630485</v>
      </c>
      <c r="G130" s="611"/>
      <c r="H130" s="611"/>
      <c r="I130" s="611"/>
      <c r="J130" s="611"/>
    </row>
    <row r="131" spans="1:10" ht="14.5">
      <c r="A131" s="472"/>
      <c r="B131" s="455" t="s">
        <v>110</v>
      </c>
      <c r="C131" s="710">
        <v>50</v>
      </c>
      <c r="D131" s="710">
        <v>49.6</v>
      </c>
      <c r="E131" s="710">
        <v>50.2</v>
      </c>
      <c r="F131" s="710">
        <v>50.4</v>
      </c>
      <c r="G131" s="611"/>
      <c r="H131" s="611"/>
      <c r="I131" s="611"/>
      <c r="J131" s="611"/>
    </row>
    <row r="132" spans="1:10" ht="14.5">
      <c r="A132" s="472"/>
      <c r="B132" s="455" t="s">
        <v>117</v>
      </c>
      <c r="C132" s="710">
        <v>50.085373024222903</v>
      </c>
      <c r="D132" s="710">
        <v>50.048051927200198</v>
      </c>
      <c r="E132" s="710">
        <v>49.953915682433198</v>
      </c>
      <c r="F132" s="710">
        <v>50.048563729738198</v>
      </c>
      <c r="G132" s="611"/>
      <c r="H132" s="611"/>
      <c r="I132" s="611"/>
      <c r="J132" s="611"/>
    </row>
    <row r="133" spans="1:10" ht="14.5">
      <c r="A133" s="473"/>
      <c r="B133" s="456" t="s">
        <v>112</v>
      </c>
      <c r="C133" s="711">
        <v>50.023078115691703</v>
      </c>
      <c r="D133" s="711">
        <v>50.0455435361336</v>
      </c>
      <c r="E133" s="711">
        <v>50.093716567928702</v>
      </c>
      <c r="F133" s="711">
        <v>49.955972209697002</v>
      </c>
      <c r="G133" s="611"/>
      <c r="H133" s="611"/>
      <c r="I133" s="611"/>
      <c r="J133" s="611"/>
    </row>
    <row r="134" spans="1:10">
      <c r="G134" s="611"/>
      <c r="H134" s="611"/>
      <c r="I134" s="611"/>
      <c r="J134" s="611"/>
    </row>
    <row r="135" spans="1:10" ht="14.5">
      <c r="A135" s="869" t="s">
        <v>367</v>
      </c>
      <c r="B135" s="869"/>
      <c r="C135" s="869"/>
      <c r="D135" s="869"/>
      <c r="E135" s="869"/>
      <c r="F135" s="869"/>
      <c r="G135" s="611"/>
      <c r="H135" s="611"/>
      <c r="I135" s="611"/>
      <c r="J135" s="611"/>
    </row>
    <row r="136" spans="1:10" ht="14.5">
      <c r="A136" s="735" t="s">
        <v>98</v>
      </c>
      <c r="B136" s="739"/>
      <c r="C136" s="864" t="s">
        <v>361</v>
      </c>
      <c r="D136" s="865"/>
      <c r="E136" s="865"/>
      <c r="F136" s="866"/>
      <c r="G136" s="611"/>
      <c r="H136" s="611"/>
      <c r="I136" s="611"/>
      <c r="J136" s="611"/>
    </row>
    <row r="137" spans="1:10" ht="45" customHeight="1">
      <c r="A137" s="740"/>
      <c r="B137" s="741"/>
      <c r="C137" s="557" t="s">
        <v>362</v>
      </c>
      <c r="D137" s="557" t="s">
        <v>363</v>
      </c>
      <c r="E137" s="557" t="s">
        <v>364</v>
      </c>
      <c r="F137" s="556" t="s">
        <v>365</v>
      </c>
      <c r="G137" s="611"/>
      <c r="H137" s="611"/>
      <c r="I137" s="611"/>
      <c r="J137" s="611"/>
    </row>
    <row r="138" spans="1:10" ht="14.5">
      <c r="A138" s="471">
        <v>2020</v>
      </c>
      <c r="B138" s="453" t="s">
        <v>112</v>
      </c>
      <c r="C138" s="403">
        <v>50.061607764362883</v>
      </c>
      <c r="D138" s="403">
        <v>50.132623337675348</v>
      </c>
      <c r="E138" s="403">
        <v>50.227514825105317</v>
      </c>
      <c r="F138" s="402">
        <v>49.953431598509383</v>
      </c>
      <c r="G138" s="611"/>
      <c r="H138" s="611"/>
      <c r="I138" s="611"/>
      <c r="J138" s="611"/>
    </row>
    <row r="139" spans="1:10" ht="14.5">
      <c r="A139" s="472"/>
      <c r="B139" s="455" t="s">
        <v>113</v>
      </c>
      <c r="C139" s="405">
        <v>49.911770940667331</v>
      </c>
      <c r="D139" s="405">
        <v>50.095425803053708</v>
      </c>
      <c r="E139" s="405">
        <v>50.252525229292381</v>
      </c>
      <c r="F139" s="404">
        <v>50.103556668248338</v>
      </c>
      <c r="G139" s="611"/>
      <c r="H139" s="611"/>
      <c r="I139" s="611"/>
      <c r="J139" s="611"/>
    </row>
    <row r="140" spans="1:10" ht="14.5">
      <c r="A140" s="472"/>
      <c r="B140" s="455" t="s">
        <v>114</v>
      </c>
      <c r="C140" s="405">
        <v>49.903363555687477</v>
      </c>
      <c r="D140" s="405">
        <v>50.082944631144763</v>
      </c>
      <c r="E140" s="405">
        <v>50.192631294436936</v>
      </c>
      <c r="F140" s="404">
        <v>49.959829970440424</v>
      </c>
      <c r="G140" s="611"/>
      <c r="H140" s="611"/>
      <c r="I140" s="611"/>
      <c r="J140" s="611"/>
    </row>
    <row r="141" spans="1:10" ht="14.5">
      <c r="A141" s="472"/>
      <c r="B141" s="455" t="s">
        <v>115</v>
      </c>
      <c r="C141" s="405">
        <v>49.912943087193888</v>
      </c>
      <c r="D141" s="405">
        <v>50.114491473880655</v>
      </c>
      <c r="E141" s="405">
        <v>50.224392367358988</v>
      </c>
      <c r="F141" s="404">
        <v>50.059540802740884</v>
      </c>
      <c r="G141" s="611"/>
      <c r="H141" s="611"/>
      <c r="I141" s="611"/>
      <c r="J141" s="611"/>
    </row>
    <row r="142" spans="1:10" ht="14.5">
      <c r="A142" s="472"/>
      <c r="B142" s="456" t="s">
        <v>116</v>
      </c>
      <c r="C142" s="407">
        <v>49.981481150955865</v>
      </c>
      <c r="D142" s="407">
        <v>50.180822426095034</v>
      </c>
      <c r="E142" s="407">
        <v>50.276248191950742</v>
      </c>
      <c r="F142" s="406">
        <v>50.147674275534882</v>
      </c>
      <c r="G142" s="611"/>
      <c r="H142" s="611"/>
      <c r="I142" s="611"/>
      <c r="J142" s="611"/>
    </row>
    <row r="143" spans="1:10" ht="14.5">
      <c r="A143" s="631">
        <v>2021</v>
      </c>
      <c r="B143" s="454" t="s">
        <v>105</v>
      </c>
      <c r="C143" s="403">
        <v>49.947054941888887</v>
      </c>
      <c r="D143" s="403">
        <v>50.247602917063489</v>
      </c>
      <c r="E143" s="403">
        <v>50.306847247949619</v>
      </c>
      <c r="F143" s="402">
        <v>50.041189276948103</v>
      </c>
      <c r="G143" s="611"/>
      <c r="H143" s="611"/>
      <c r="I143" s="611"/>
      <c r="J143" s="611"/>
    </row>
    <row r="144" spans="1:10" ht="14.5">
      <c r="A144" s="480"/>
      <c r="B144" s="455" t="s">
        <v>106</v>
      </c>
      <c r="C144" s="405">
        <v>50.10836369914113</v>
      </c>
      <c r="D144" s="405">
        <v>50.109632280335788</v>
      </c>
      <c r="E144" s="405">
        <v>50.180763023220678</v>
      </c>
      <c r="F144" s="404">
        <v>50.074936434378635</v>
      </c>
      <c r="G144" s="611"/>
      <c r="H144" s="611"/>
      <c r="I144" s="611"/>
      <c r="J144" s="611"/>
    </row>
    <row r="145" spans="1:10" ht="14.5">
      <c r="A145" s="480"/>
      <c r="B145" s="455" t="s">
        <v>107</v>
      </c>
      <c r="C145" s="405">
        <v>50.152703377459567</v>
      </c>
      <c r="D145" s="405">
        <v>50.100536256851306</v>
      </c>
      <c r="E145" s="405">
        <v>50.390672809234836</v>
      </c>
      <c r="F145" s="404">
        <v>50.065230112710552</v>
      </c>
      <c r="G145" s="611"/>
      <c r="H145" s="611"/>
      <c r="I145" s="611"/>
      <c r="J145" s="611"/>
    </row>
    <row r="146" spans="1:10" ht="14.5">
      <c r="A146" s="480"/>
      <c r="B146" s="455" t="s">
        <v>108</v>
      </c>
      <c r="C146" s="405">
        <v>50.144762549242252</v>
      </c>
      <c r="D146" s="405">
        <v>50.139099799304709</v>
      </c>
      <c r="E146" s="405">
        <v>50.216896418554292</v>
      </c>
      <c r="F146" s="404">
        <v>49.945372678046901</v>
      </c>
      <c r="G146" s="611"/>
      <c r="H146" s="611"/>
      <c r="I146" s="611"/>
      <c r="J146" s="611"/>
    </row>
    <row r="147" spans="1:10" ht="14.5">
      <c r="A147" s="480"/>
      <c r="B147" s="455" t="s">
        <v>109</v>
      </c>
      <c r="C147" s="405">
        <v>50.115792859256189</v>
      </c>
      <c r="D147" s="405">
        <v>50.154980904561135</v>
      </c>
      <c r="E147" s="405">
        <v>50.217704312778928</v>
      </c>
      <c r="F147" s="404">
        <v>50.128578227345436</v>
      </c>
      <c r="G147" s="611"/>
      <c r="H147" s="611"/>
      <c r="I147" s="611"/>
      <c r="J147" s="611"/>
    </row>
    <row r="148" spans="1:10" ht="14.5">
      <c r="A148" s="480"/>
      <c r="B148" s="455" t="s">
        <v>110</v>
      </c>
      <c r="C148" s="405">
        <v>49.928047954076334</v>
      </c>
      <c r="D148" s="405">
        <v>50.124367815028336</v>
      </c>
      <c r="E148" s="405">
        <v>50.307977278565772</v>
      </c>
      <c r="F148" s="404">
        <v>50.113625190274945</v>
      </c>
      <c r="G148" s="611"/>
      <c r="H148" s="611"/>
      <c r="I148" s="611"/>
      <c r="J148" s="611"/>
    </row>
    <row r="149" spans="1:10" ht="14.5">
      <c r="A149" s="480"/>
      <c r="B149" s="455" t="s">
        <v>117</v>
      </c>
      <c r="C149" s="405">
        <v>49.988814115259999</v>
      </c>
      <c r="D149" s="405">
        <v>50.174305703721153</v>
      </c>
      <c r="E149" s="405">
        <v>50.233144283474999</v>
      </c>
      <c r="F149" s="404">
        <v>50.188628121558295</v>
      </c>
      <c r="G149" s="611"/>
      <c r="H149" s="611"/>
      <c r="I149" s="611"/>
      <c r="J149" s="611"/>
    </row>
    <row r="150" spans="1:10" ht="14.5">
      <c r="A150" s="480"/>
      <c r="B150" s="455" t="s">
        <v>112</v>
      </c>
      <c r="C150" s="405">
        <v>50.055316589777128</v>
      </c>
      <c r="D150" s="405">
        <v>49.997478284894861</v>
      </c>
      <c r="E150" s="405">
        <v>49.986090620534988</v>
      </c>
      <c r="F150" s="404">
        <v>50.095048319750028</v>
      </c>
      <c r="G150" s="611"/>
      <c r="H150" s="611"/>
      <c r="I150" s="611"/>
      <c r="J150" s="611"/>
    </row>
    <row r="151" spans="1:10" ht="14.5">
      <c r="A151" s="480"/>
      <c r="B151" s="455" t="s">
        <v>113</v>
      </c>
      <c r="C151" s="405">
        <v>49.75595512629598</v>
      </c>
      <c r="D151" s="405">
        <v>49.885554277953538</v>
      </c>
      <c r="E151" s="405">
        <v>49.986038346737935</v>
      </c>
      <c r="F151" s="404">
        <v>49.841776872868572</v>
      </c>
      <c r="G151" s="611"/>
      <c r="H151" s="611"/>
      <c r="I151" s="611"/>
      <c r="J151" s="611"/>
    </row>
    <row r="152" spans="1:10" ht="14.5">
      <c r="A152" s="480"/>
      <c r="B152" s="455" t="s">
        <v>114</v>
      </c>
      <c r="C152" s="405">
        <v>49.844183570435064</v>
      </c>
      <c r="D152" s="405">
        <v>49.942075870104816</v>
      </c>
      <c r="E152" s="405">
        <v>49.928241925618337</v>
      </c>
      <c r="F152" s="404">
        <v>49.962106776801846</v>
      </c>
      <c r="G152" s="611"/>
      <c r="H152" s="611"/>
      <c r="I152" s="611"/>
      <c r="J152" s="611"/>
    </row>
    <row r="153" spans="1:10" ht="14.5">
      <c r="A153" s="472"/>
      <c r="B153" s="455" t="s">
        <v>115</v>
      </c>
      <c r="C153" s="405">
        <v>50.07063323084806</v>
      </c>
      <c r="D153" s="405">
        <v>49.988452192780692</v>
      </c>
      <c r="E153" s="405">
        <v>50.072444176444755</v>
      </c>
      <c r="F153" s="404">
        <v>50.078526288080226</v>
      </c>
      <c r="G153" s="611"/>
      <c r="H153" s="611"/>
      <c r="I153" s="611"/>
      <c r="J153" s="611"/>
    </row>
    <row r="154" spans="1:10" ht="14.5">
      <c r="A154" s="481"/>
      <c r="B154" s="456" t="s">
        <v>116</v>
      </c>
      <c r="C154" s="407">
        <v>50.002113752980286</v>
      </c>
      <c r="D154" s="407">
        <v>50.109125988692021</v>
      </c>
      <c r="E154" s="407">
        <v>50.061084636329696</v>
      </c>
      <c r="F154" s="407">
        <v>50.088789220406241</v>
      </c>
      <c r="G154" s="611"/>
      <c r="H154" s="611"/>
      <c r="I154" s="611"/>
      <c r="J154" s="611"/>
    </row>
    <row r="155" spans="1:10" ht="14.5">
      <c r="A155" s="471">
        <v>2022</v>
      </c>
      <c r="B155" s="454" t="s">
        <v>105</v>
      </c>
      <c r="C155" s="403">
        <v>50.082786146653035</v>
      </c>
      <c r="D155" s="403">
        <v>50.101911134210127</v>
      </c>
      <c r="E155" s="403">
        <v>50.061345828556739</v>
      </c>
      <c r="F155" s="403">
        <v>50.106373084376564</v>
      </c>
      <c r="G155" s="611"/>
      <c r="H155" s="611"/>
      <c r="I155" s="611"/>
      <c r="J155" s="611"/>
    </row>
    <row r="156" spans="1:10" ht="14.5">
      <c r="A156" s="472"/>
      <c r="B156" s="455" t="s">
        <v>106</v>
      </c>
      <c r="C156" s="405">
        <v>50.099552767068253</v>
      </c>
      <c r="D156" s="405">
        <v>50.074213292426464</v>
      </c>
      <c r="E156" s="405">
        <v>50.043638360991366</v>
      </c>
      <c r="F156" s="405">
        <v>50.116545865071672</v>
      </c>
      <c r="G156" s="611"/>
      <c r="H156" s="611"/>
      <c r="I156" s="611"/>
      <c r="J156" s="611"/>
    </row>
    <row r="157" spans="1:10" ht="14.5">
      <c r="A157" s="472"/>
      <c r="B157" s="455" t="s">
        <v>107</v>
      </c>
      <c r="C157" s="405">
        <v>50.082016826006061</v>
      </c>
      <c r="D157" s="405">
        <v>50.044516758760992</v>
      </c>
      <c r="E157" s="405">
        <v>50.060301779240966</v>
      </c>
      <c r="F157" s="405">
        <v>50.031924679604842</v>
      </c>
      <c r="G157" s="611"/>
      <c r="H157" s="611"/>
      <c r="I157" s="611"/>
      <c r="J157" s="611"/>
    </row>
    <row r="158" spans="1:10" ht="14.5">
      <c r="A158" s="472"/>
      <c r="B158" s="455" t="s">
        <v>108</v>
      </c>
      <c r="C158" s="405">
        <v>50.13621543038829</v>
      </c>
      <c r="D158" s="405">
        <v>50.11244763490128</v>
      </c>
      <c r="E158" s="405">
        <v>50.140767804948588</v>
      </c>
      <c r="F158" s="405">
        <v>50.044949919745669</v>
      </c>
      <c r="G158" s="611"/>
      <c r="H158" s="611"/>
      <c r="I158" s="611"/>
      <c r="J158" s="611"/>
    </row>
    <row r="159" spans="1:10" ht="14.5">
      <c r="A159" s="472"/>
      <c r="B159" s="455" t="s">
        <v>109</v>
      </c>
      <c r="C159" s="405">
        <v>50.015764373749626</v>
      </c>
      <c r="D159" s="405">
        <v>50.127354924181041</v>
      </c>
      <c r="E159" s="405">
        <v>50.127101334446152</v>
      </c>
      <c r="F159" s="405">
        <v>50.190447936529949</v>
      </c>
      <c r="G159" s="611"/>
      <c r="H159" s="611"/>
      <c r="I159" s="611"/>
      <c r="J159" s="611"/>
    </row>
    <row r="160" spans="1:10" ht="14.5">
      <c r="A160" s="472"/>
      <c r="B160" s="455" t="s">
        <v>110</v>
      </c>
      <c r="C160" s="405">
        <v>50.103900209745461</v>
      </c>
      <c r="D160" s="405">
        <v>50.113352511946658</v>
      </c>
      <c r="E160" s="405">
        <v>50.097296522275357</v>
      </c>
      <c r="F160" s="405">
        <v>50.214922608663649</v>
      </c>
      <c r="G160" s="611"/>
      <c r="H160" s="611"/>
      <c r="I160" s="611"/>
      <c r="J160" s="611"/>
    </row>
    <row r="161" spans="1:10" ht="14.5">
      <c r="A161" s="472"/>
      <c r="B161" s="455" t="s">
        <v>117</v>
      </c>
      <c r="C161" s="405">
        <v>50.004686788675137</v>
      </c>
      <c r="D161" s="405">
        <v>50.171146446209015</v>
      </c>
      <c r="E161" s="405">
        <v>50.114154770893734</v>
      </c>
      <c r="F161" s="405">
        <v>50.169518789749773</v>
      </c>
      <c r="G161" s="611"/>
      <c r="H161" s="611"/>
      <c r="I161" s="611"/>
      <c r="J161" s="611"/>
    </row>
    <row r="162" spans="1:10" ht="14.5">
      <c r="A162" s="472"/>
      <c r="B162" s="455" t="s">
        <v>112</v>
      </c>
      <c r="C162" s="405">
        <v>50.073308859912927</v>
      </c>
      <c r="D162" s="405">
        <v>50.090810181245203</v>
      </c>
      <c r="E162" s="405">
        <v>50.171432096112248</v>
      </c>
      <c r="F162" s="405">
        <v>50.037524838161772</v>
      </c>
      <c r="G162" s="611"/>
      <c r="H162" s="611"/>
      <c r="I162" s="611"/>
      <c r="J162" s="611"/>
    </row>
    <row r="163" spans="1:10" ht="14.5">
      <c r="A163" s="472"/>
      <c r="B163" s="455" t="s">
        <v>113</v>
      </c>
      <c r="C163" s="405">
        <v>50.104751788081693</v>
      </c>
      <c r="D163" s="405">
        <v>50.111973413012215</v>
      </c>
      <c r="E163" s="405">
        <v>49.995864829804972</v>
      </c>
      <c r="F163" s="405">
        <v>50.072275419681098</v>
      </c>
      <c r="G163" s="611"/>
      <c r="H163" s="611"/>
      <c r="I163" s="611"/>
      <c r="J163" s="611"/>
    </row>
    <row r="164" spans="1:10" ht="14.5">
      <c r="A164" s="472"/>
      <c r="B164" s="455" t="s">
        <v>114</v>
      </c>
      <c r="C164" s="405">
        <v>50.014111196038357</v>
      </c>
      <c r="D164" s="405">
        <v>50.030030588621862</v>
      </c>
      <c r="E164" s="405">
        <v>50.04351036742446</v>
      </c>
      <c r="F164" s="405">
        <v>50.109014388182352</v>
      </c>
      <c r="G164" s="611"/>
      <c r="H164" s="611"/>
      <c r="I164" s="611"/>
      <c r="J164" s="611"/>
    </row>
    <row r="165" spans="1:10" ht="14.5">
      <c r="A165" s="472"/>
      <c r="B165" s="455" t="s">
        <v>115</v>
      </c>
      <c r="C165" s="405">
        <v>50.017611058679442</v>
      </c>
      <c r="D165" s="405">
        <v>50.036813224550905</v>
      </c>
      <c r="E165" s="405">
        <v>50.299675792966845</v>
      </c>
      <c r="F165" s="405">
        <v>49.939373853046455</v>
      </c>
      <c r="G165" s="611"/>
      <c r="H165" s="611"/>
      <c r="I165" s="611"/>
      <c r="J165" s="611"/>
    </row>
    <row r="166" spans="1:10" ht="14.5">
      <c r="A166" s="473"/>
      <c r="B166" s="456" t="s">
        <v>116</v>
      </c>
      <c r="C166" s="407">
        <v>50.066804597078061</v>
      </c>
      <c r="D166" s="407">
        <v>50.068847231129226</v>
      </c>
      <c r="E166" s="407">
        <v>50.178500213553257</v>
      </c>
      <c r="F166" s="407">
        <v>50.035251940135865</v>
      </c>
      <c r="G166" s="611"/>
      <c r="H166" s="611"/>
      <c r="I166" s="611"/>
      <c r="J166" s="611"/>
    </row>
    <row r="167" spans="1:10" ht="14.5">
      <c r="A167" s="471">
        <v>2023</v>
      </c>
      <c r="B167" s="454" t="s">
        <v>105</v>
      </c>
      <c r="C167" s="403">
        <v>50.05758030682162</v>
      </c>
      <c r="D167" s="403">
        <v>50.094147715522894</v>
      </c>
      <c r="E167" s="403">
        <v>50.116144765152796</v>
      </c>
      <c r="F167" s="403">
        <v>50.007270396116283</v>
      </c>
      <c r="G167" s="611"/>
      <c r="H167" s="611"/>
      <c r="I167" s="611"/>
      <c r="J167" s="611"/>
    </row>
    <row r="168" spans="1:10" ht="14.5">
      <c r="A168" s="472"/>
      <c r="B168" s="455" t="s">
        <v>106</v>
      </c>
      <c r="C168" s="405">
        <v>50.058107483512707</v>
      </c>
      <c r="D168" s="405">
        <v>50.075759688336767</v>
      </c>
      <c r="E168" s="405">
        <v>50.089712078707308</v>
      </c>
      <c r="F168" s="405">
        <v>50.091041081819697</v>
      </c>
      <c r="G168" s="611"/>
      <c r="H168" s="611"/>
      <c r="I168" s="611"/>
      <c r="J168" s="611"/>
    </row>
    <row r="169" spans="1:10" ht="14.5">
      <c r="A169" s="472"/>
      <c r="B169" s="455" t="s">
        <v>107</v>
      </c>
      <c r="C169" s="405">
        <v>49.983310311756348</v>
      </c>
      <c r="D169" s="405">
        <v>50.12327814879702</v>
      </c>
      <c r="E169" s="405">
        <v>50.223857367454947</v>
      </c>
      <c r="F169" s="405">
        <v>50.136850732409286</v>
      </c>
      <c r="G169" s="611"/>
      <c r="H169" s="611"/>
      <c r="I169" s="611"/>
      <c r="J169" s="611"/>
    </row>
    <row r="170" spans="1:10" ht="14.5">
      <c r="A170" s="472"/>
      <c r="B170" s="455" t="s">
        <v>108</v>
      </c>
      <c r="C170" s="405">
        <v>50.01413572708546</v>
      </c>
      <c r="D170" s="405">
        <v>50.072085164532375</v>
      </c>
      <c r="E170" s="405">
        <v>50.200519918802314</v>
      </c>
      <c r="F170" s="405">
        <v>50.04544597047375</v>
      </c>
      <c r="G170" s="611"/>
      <c r="H170" s="611"/>
      <c r="I170" s="611"/>
      <c r="J170" s="611"/>
    </row>
    <row r="171" spans="1:10" ht="14.5">
      <c r="A171" s="472"/>
      <c r="B171" s="455" t="s">
        <v>109</v>
      </c>
      <c r="C171" s="405">
        <v>49.982004807148478</v>
      </c>
      <c r="D171" s="405">
        <v>50.04486348326347</v>
      </c>
      <c r="E171" s="405">
        <v>50.05888094339749</v>
      </c>
      <c r="F171" s="405">
        <v>50.043357531461744</v>
      </c>
      <c r="G171" s="611"/>
      <c r="H171" s="611"/>
      <c r="I171" s="611"/>
      <c r="J171" s="611"/>
    </row>
    <row r="172" spans="1:10" ht="14.5">
      <c r="A172" s="472"/>
      <c r="B172" s="455" t="s">
        <v>110</v>
      </c>
      <c r="C172" s="405">
        <v>50.02128743115334</v>
      </c>
      <c r="D172" s="405">
        <v>50.114056368392689</v>
      </c>
      <c r="E172" s="405">
        <v>50.060791570354311</v>
      </c>
      <c r="F172" s="405">
        <v>50.222303740424429</v>
      </c>
      <c r="G172" s="611"/>
      <c r="H172" s="611"/>
      <c r="I172" s="611"/>
      <c r="J172" s="611"/>
    </row>
    <row r="173" spans="1:10" ht="14.5">
      <c r="A173" s="472"/>
      <c r="B173" s="455" t="s">
        <v>117</v>
      </c>
      <c r="C173" s="405">
        <v>50.059346233083716</v>
      </c>
      <c r="D173" s="405">
        <v>50.092316774705509</v>
      </c>
      <c r="E173" s="405">
        <v>50.079588728579239</v>
      </c>
      <c r="F173" s="405">
        <v>50.091577094863887</v>
      </c>
      <c r="G173" s="611"/>
      <c r="H173" s="611"/>
      <c r="I173" s="611"/>
      <c r="J173" s="611"/>
    </row>
    <row r="174" spans="1:10" ht="14.5">
      <c r="A174" s="472"/>
      <c r="B174" s="455" t="s">
        <v>112</v>
      </c>
      <c r="C174" s="405">
        <v>50.038278323973863</v>
      </c>
      <c r="D174" s="405">
        <v>50.113676524879793</v>
      </c>
      <c r="E174" s="405">
        <v>50.145465248291103</v>
      </c>
      <c r="F174" s="405">
        <v>50.014704355008469</v>
      </c>
      <c r="G174" s="611"/>
      <c r="H174" s="611"/>
      <c r="I174" s="611"/>
      <c r="J174" s="611"/>
    </row>
    <row r="175" spans="1:10" ht="14.5">
      <c r="A175" s="472"/>
      <c r="B175" s="455" t="s">
        <v>113</v>
      </c>
      <c r="C175" s="405">
        <v>49.993306248723904</v>
      </c>
      <c r="D175" s="405">
        <v>50.099857552573603</v>
      </c>
      <c r="E175" s="405">
        <v>50.210778252599027</v>
      </c>
      <c r="F175" s="405">
        <v>50.132046197744664</v>
      </c>
      <c r="G175" s="611"/>
      <c r="H175" s="611"/>
      <c r="I175" s="611"/>
      <c r="J175" s="611"/>
    </row>
    <row r="176" spans="1:10" ht="14.5">
      <c r="A176" s="472"/>
      <c r="B176" s="455" t="s">
        <v>114</v>
      </c>
      <c r="C176" s="405">
        <v>49.975380268414447</v>
      </c>
      <c r="D176" s="405">
        <v>50.094101181567673</v>
      </c>
      <c r="E176" s="405">
        <v>50.102806758585551</v>
      </c>
      <c r="F176" s="405">
        <v>50.011530853059099</v>
      </c>
      <c r="G176" s="611"/>
      <c r="H176" s="611"/>
      <c r="I176" s="611"/>
      <c r="J176" s="611"/>
    </row>
    <row r="177" spans="1:10" ht="14.5">
      <c r="A177" s="472"/>
      <c r="B177" s="455" t="s">
        <v>115</v>
      </c>
      <c r="C177" s="405">
        <v>49.982195959618927</v>
      </c>
      <c r="D177" s="405">
        <v>50.123304565959934</v>
      </c>
      <c r="E177" s="405">
        <v>50.27412918924616</v>
      </c>
      <c r="F177" s="405">
        <v>49.967101915596245</v>
      </c>
      <c r="G177" s="611"/>
      <c r="H177" s="611"/>
      <c r="I177" s="611"/>
      <c r="J177" s="611"/>
    </row>
    <row r="178" spans="1:10" ht="14.5">
      <c r="A178" s="473"/>
      <c r="B178" s="456" t="s">
        <v>116</v>
      </c>
      <c r="C178" s="407">
        <v>49.974998222111388</v>
      </c>
      <c r="D178" s="407">
        <v>50.075178679104859</v>
      </c>
      <c r="E178" s="407">
        <v>50.207980466225997</v>
      </c>
      <c r="F178" s="407">
        <v>49.946121853207316</v>
      </c>
      <c r="G178" s="611"/>
      <c r="H178" s="611"/>
      <c r="I178" s="611"/>
      <c r="J178" s="611"/>
    </row>
    <row r="179" spans="1:10" ht="14.5">
      <c r="A179" s="471">
        <v>2024</v>
      </c>
      <c r="B179" s="454" t="s">
        <v>105</v>
      </c>
      <c r="C179" s="403">
        <v>49.934093546317655</v>
      </c>
      <c r="D179" s="403">
        <v>50.092592393544493</v>
      </c>
      <c r="E179" s="403">
        <v>50.126775901765946</v>
      </c>
      <c r="F179" s="403">
        <v>50.050152374723289</v>
      </c>
      <c r="G179" s="611"/>
      <c r="H179" s="611"/>
      <c r="I179" s="611"/>
      <c r="J179" s="611"/>
    </row>
    <row r="180" spans="1:10" ht="14.5">
      <c r="A180" s="472"/>
      <c r="B180" s="455" t="s">
        <v>106</v>
      </c>
      <c r="C180" s="405">
        <v>50.040514238773234</v>
      </c>
      <c r="D180" s="405">
        <v>50.095176600438926</v>
      </c>
      <c r="E180" s="405">
        <v>50.038294352670306</v>
      </c>
      <c r="F180" s="405">
        <v>50.138189920564002</v>
      </c>
      <c r="G180" s="611"/>
      <c r="H180" s="611"/>
      <c r="I180" s="611"/>
      <c r="J180" s="611"/>
    </row>
    <row r="181" spans="1:10" ht="14.5">
      <c r="A181" s="472"/>
      <c r="B181" s="455" t="s">
        <v>107</v>
      </c>
      <c r="C181" s="405">
        <v>50.014206844170602</v>
      </c>
      <c r="D181" s="405">
        <v>50.104371947604974</v>
      </c>
      <c r="E181" s="405">
        <v>50.080352049242457</v>
      </c>
      <c r="F181" s="405">
        <v>50.13902380418444</v>
      </c>
      <c r="G181" s="611"/>
      <c r="H181" s="611"/>
      <c r="I181" s="611"/>
      <c r="J181" s="611"/>
    </row>
    <row r="182" spans="1:10" ht="14.5">
      <c r="A182" s="472"/>
      <c r="B182" s="455" t="s">
        <v>108</v>
      </c>
      <c r="C182" s="632">
        <v>50.013131824276662</v>
      </c>
      <c r="D182" s="632">
        <v>50.032952860174838</v>
      </c>
      <c r="E182" s="632">
        <v>50.011605701154018</v>
      </c>
      <c r="F182" s="632">
        <v>50.130631829118691</v>
      </c>
      <c r="G182" s="611"/>
      <c r="H182" s="611"/>
      <c r="I182" s="611"/>
      <c r="J182" s="611"/>
    </row>
    <row r="183" spans="1:10" ht="14.5">
      <c r="A183" s="472"/>
      <c r="B183" s="455" t="s">
        <v>109</v>
      </c>
      <c r="C183" s="405">
        <v>49.970356369147162</v>
      </c>
      <c r="D183" s="405">
        <v>50.038211125582563</v>
      </c>
      <c r="E183" s="405">
        <v>50.019928684286064</v>
      </c>
      <c r="F183" s="405">
        <v>50.100157186030962</v>
      </c>
      <c r="G183" s="611"/>
      <c r="H183" s="611"/>
      <c r="I183" s="611"/>
      <c r="J183" s="611"/>
    </row>
    <row r="184" spans="1:10" ht="14.5">
      <c r="A184" s="472"/>
      <c r="B184" s="455" t="s">
        <v>110</v>
      </c>
      <c r="C184" s="405">
        <v>50.005218019823211</v>
      </c>
      <c r="D184" s="405">
        <v>50.040404962988752</v>
      </c>
      <c r="E184" s="405">
        <v>50.012511271002474</v>
      </c>
      <c r="F184" s="405">
        <v>50.069956244739579</v>
      </c>
      <c r="G184" s="611"/>
      <c r="H184" s="611"/>
      <c r="I184" s="611"/>
      <c r="J184" s="611"/>
    </row>
    <row r="185" spans="1:10" ht="14.5">
      <c r="A185" s="472"/>
      <c r="B185" s="455" t="s">
        <v>117</v>
      </c>
      <c r="C185" s="405">
        <v>50</v>
      </c>
      <c r="D185" s="405">
        <v>50</v>
      </c>
      <c r="E185" s="405">
        <v>50</v>
      </c>
      <c r="F185" s="405">
        <v>50</v>
      </c>
      <c r="G185" s="611"/>
      <c r="H185" s="611"/>
      <c r="I185" s="611"/>
      <c r="J185" s="611"/>
    </row>
    <row r="186" spans="1:10" ht="14.5">
      <c r="A186" s="472"/>
      <c r="B186" s="455" t="s">
        <v>112</v>
      </c>
      <c r="C186" s="405">
        <v>50.017501893556627</v>
      </c>
      <c r="D186" s="405">
        <v>50.025215536507986</v>
      </c>
      <c r="E186" s="405">
        <v>50.681907392479722</v>
      </c>
      <c r="F186" s="405">
        <v>50.044548913236675</v>
      </c>
      <c r="G186" s="611"/>
      <c r="H186" s="611"/>
      <c r="I186" s="611"/>
      <c r="J186" s="611"/>
    </row>
    <row r="187" spans="1:10" ht="14.5">
      <c r="A187" s="472"/>
      <c r="B187" s="455" t="s">
        <v>113</v>
      </c>
      <c r="C187" s="405">
        <v>49.967547419665799</v>
      </c>
      <c r="D187" s="405">
        <v>50.034108194946157</v>
      </c>
      <c r="E187" s="405">
        <v>50.66823031139851</v>
      </c>
      <c r="F187" s="405">
        <v>50.165304797732276</v>
      </c>
      <c r="G187" s="611"/>
      <c r="H187" s="611"/>
      <c r="I187" s="611"/>
      <c r="J187" s="611"/>
    </row>
    <row r="188" spans="1:10" ht="14.5">
      <c r="A188" s="472"/>
      <c r="B188" s="455" t="s">
        <v>114</v>
      </c>
      <c r="C188" s="405">
        <v>50.007680686573529</v>
      </c>
      <c r="D188" s="405">
        <v>50.037610558867989</v>
      </c>
      <c r="E188" s="405">
        <v>50.026778629109131</v>
      </c>
      <c r="F188" s="405">
        <v>50.034614083777477</v>
      </c>
      <c r="G188" s="611"/>
      <c r="H188" s="611"/>
      <c r="I188" s="611"/>
      <c r="J188" s="611"/>
    </row>
    <row r="189" spans="1:10" ht="14.5">
      <c r="A189" s="472"/>
      <c r="B189" s="455" t="s">
        <v>115</v>
      </c>
      <c r="C189" s="405">
        <v>50.017119907109951</v>
      </c>
      <c r="D189" s="405">
        <v>50.030440029183744</v>
      </c>
      <c r="E189" s="405">
        <v>50.024069456417166</v>
      </c>
      <c r="F189" s="405">
        <v>50.05484480458415</v>
      </c>
      <c r="G189" s="611"/>
      <c r="H189" s="611"/>
      <c r="I189" s="611"/>
      <c r="J189" s="611"/>
    </row>
    <row r="190" spans="1:10" ht="14.5">
      <c r="A190" s="473"/>
      <c r="B190" s="456" t="s">
        <v>116</v>
      </c>
      <c r="C190" s="407">
        <v>50.1</v>
      </c>
      <c r="D190" s="407">
        <v>50</v>
      </c>
      <c r="E190" s="407">
        <v>50</v>
      </c>
      <c r="F190" s="407">
        <v>50.1</v>
      </c>
      <c r="G190" s="611"/>
      <c r="H190" s="611"/>
      <c r="I190" s="611"/>
      <c r="J190" s="611"/>
    </row>
    <row r="191" spans="1:10" ht="14.5">
      <c r="A191" s="471">
        <v>2025</v>
      </c>
      <c r="B191" s="454" t="s">
        <v>105</v>
      </c>
      <c r="C191" s="403">
        <v>50.036523595673323</v>
      </c>
      <c r="D191" s="403">
        <v>50.036010484956414</v>
      </c>
      <c r="E191" s="403">
        <v>50.019096700111909</v>
      </c>
      <c r="F191" s="403">
        <v>50.019853337906959</v>
      </c>
      <c r="G191" s="611"/>
      <c r="H191" s="611"/>
      <c r="I191" s="611"/>
      <c r="J191" s="611"/>
    </row>
    <row r="192" spans="1:10" ht="14.5">
      <c r="A192" s="472"/>
      <c r="B192" s="455" t="s">
        <v>106</v>
      </c>
      <c r="C192" s="405">
        <v>50.027224234839188</v>
      </c>
      <c r="D192" s="405">
        <v>50.023304250420288</v>
      </c>
      <c r="E192" s="405">
        <v>50.014914985883543</v>
      </c>
      <c r="F192" s="405">
        <v>50.031001673119199</v>
      </c>
      <c r="G192" s="611"/>
      <c r="H192" s="611"/>
      <c r="I192" s="611"/>
      <c r="J192" s="611"/>
    </row>
    <row r="193" spans="1:10" ht="14.5">
      <c r="A193" s="472"/>
      <c r="B193" s="455" t="s">
        <v>107</v>
      </c>
      <c r="C193" s="405">
        <v>50.071873279274982</v>
      </c>
      <c r="D193" s="405">
        <v>50.064893628172435</v>
      </c>
      <c r="E193" s="405">
        <v>50.021023274180415</v>
      </c>
      <c r="F193" s="405">
        <v>50.104987355710165</v>
      </c>
      <c r="G193" s="611"/>
      <c r="H193" s="611"/>
      <c r="I193" s="611"/>
      <c r="J193" s="611"/>
    </row>
    <row r="194" spans="1:10" ht="14.5">
      <c r="A194" s="472"/>
      <c r="B194" s="455" t="s">
        <v>108</v>
      </c>
      <c r="C194" s="405">
        <v>50.024274266778662</v>
      </c>
      <c r="D194" s="405">
        <v>50.047392816261002</v>
      </c>
      <c r="E194" s="405">
        <v>50.162646002850899</v>
      </c>
      <c r="F194" s="405">
        <v>50.343575375998846</v>
      </c>
      <c r="G194" s="611"/>
      <c r="H194" s="611"/>
      <c r="I194" s="611"/>
      <c r="J194" s="611"/>
    </row>
    <row r="195" spans="1:10" ht="14.5">
      <c r="A195" s="472"/>
      <c r="B195" s="455" t="s">
        <v>109</v>
      </c>
      <c r="C195" s="405">
        <v>49.950597282465566</v>
      </c>
      <c r="D195" s="405">
        <v>50.045057967259787</v>
      </c>
      <c r="E195" s="405">
        <v>50.270207607012985</v>
      </c>
      <c r="F195" s="405">
        <v>50.158002947624873</v>
      </c>
      <c r="G195" s="611"/>
      <c r="H195" s="611"/>
      <c r="I195" s="611"/>
      <c r="J195" s="611"/>
    </row>
    <row r="196" spans="1:10" ht="14.5">
      <c r="A196" s="472"/>
      <c r="B196" s="455" t="s">
        <v>110</v>
      </c>
      <c r="C196" s="710">
        <v>50</v>
      </c>
      <c r="D196" s="710">
        <v>50</v>
      </c>
      <c r="E196" s="710">
        <v>50.2</v>
      </c>
      <c r="F196" s="710">
        <v>50.4</v>
      </c>
      <c r="G196" s="611"/>
      <c r="H196" s="611"/>
      <c r="I196" s="611"/>
      <c r="J196" s="611"/>
    </row>
    <row r="197" spans="1:10" ht="14.5">
      <c r="A197" s="472"/>
      <c r="B197" s="455" t="s">
        <v>117</v>
      </c>
      <c r="C197" s="710">
        <v>50.044164856664601</v>
      </c>
      <c r="D197" s="710">
        <v>50.043918435828502</v>
      </c>
      <c r="E197" s="710">
        <v>50.165258127068498</v>
      </c>
      <c r="F197" s="710">
        <v>50.469451548825703</v>
      </c>
      <c r="G197" s="611"/>
      <c r="H197" s="611"/>
      <c r="I197" s="611"/>
      <c r="J197" s="611"/>
    </row>
    <row r="198" spans="1:10" ht="14.5">
      <c r="A198" s="473"/>
      <c r="B198" s="456" t="s">
        <v>112</v>
      </c>
      <c r="C198" s="711">
        <v>50.031233718142701</v>
      </c>
      <c r="D198" s="711">
        <v>50.018600275625403</v>
      </c>
      <c r="E198" s="711">
        <v>50.183448264230599</v>
      </c>
      <c r="F198" s="711">
        <v>50.456358634319599</v>
      </c>
      <c r="G198" s="611"/>
      <c r="H198" s="611"/>
      <c r="I198" s="611"/>
      <c r="J198" s="611"/>
    </row>
    <row r="199" spans="1:10">
      <c r="G199" s="611"/>
      <c r="H199" s="611"/>
      <c r="I199" s="611"/>
      <c r="J199" s="611"/>
    </row>
    <row r="200" spans="1:10" ht="14.5">
      <c r="A200" s="869" t="s">
        <v>368</v>
      </c>
      <c r="B200" s="869"/>
      <c r="C200" s="869"/>
      <c r="D200" s="869"/>
      <c r="E200" s="869"/>
      <c r="F200" s="869"/>
      <c r="G200" s="611"/>
      <c r="H200" s="611"/>
      <c r="I200" s="611"/>
      <c r="J200" s="611"/>
    </row>
    <row r="201" spans="1:10" ht="14.5">
      <c r="A201" s="735" t="s">
        <v>98</v>
      </c>
      <c r="B201" s="739"/>
      <c r="C201" s="864" t="s">
        <v>361</v>
      </c>
      <c r="D201" s="865"/>
      <c r="E201" s="865"/>
      <c r="F201" s="866"/>
      <c r="G201" s="611"/>
      <c r="H201" s="611"/>
      <c r="I201" s="611"/>
      <c r="J201" s="611"/>
    </row>
    <row r="202" spans="1:10" ht="45" customHeight="1">
      <c r="A202" s="740"/>
      <c r="B202" s="741"/>
      <c r="C202" s="557" t="s">
        <v>362</v>
      </c>
      <c r="D202" s="557" t="s">
        <v>363</v>
      </c>
      <c r="E202" s="557" t="s">
        <v>364</v>
      </c>
      <c r="F202" s="556" t="s">
        <v>365</v>
      </c>
      <c r="G202" s="611"/>
      <c r="H202" s="611"/>
      <c r="I202" s="611"/>
      <c r="J202" s="611"/>
    </row>
    <row r="203" spans="1:10" ht="14.5">
      <c r="A203" s="471">
        <v>2020</v>
      </c>
      <c r="B203" s="453" t="s">
        <v>112</v>
      </c>
      <c r="C203" s="403">
        <v>50.157217263785434</v>
      </c>
      <c r="D203" s="403">
        <v>50.103246153886204</v>
      </c>
      <c r="E203" s="403">
        <v>50.224502316094885</v>
      </c>
      <c r="F203" s="402">
        <v>50.181989457538215</v>
      </c>
      <c r="G203" s="611"/>
      <c r="H203" s="611"/>
      <c r="I203" s="611"/>
      <c r="J203" s="611"/>
    </row>
    <row r="204" spans="1:10" ht="14.5">
      <c r="A204" s="472"/>
      <c r="B204" s="455" t="s">
        <v>113</v>
      </c>
      <c r="C204" s="405">
        <v>49.887739859103043</v>
      </c>
      <c r="D204" s="405">
        <v>50.141336114492098</v>
      </c>
      <c r="E204" s="405">
        <v>50.30705132063386</v>
      </c>
      <c r="F204" s="404">
        <v>50.095584075368329</v>
      </c>
      <c r="G204" s="611"/>
      <c r="H204" s="611"/>
      <c r="I204" s="611"/>
      <c r="J204" s="611"/>
    </row>
    <row r="205" spans="1:10" ht="14.5">
      <c r="A205" s="472"/>
      <c r="B205" s="455" t="s">
        <v>114</v>
      </c>
      <c r="C205" s="405">
        <v>49.99335816264589</v>
      </c>
      <c r="D205" s="405">
        <v>50.109677773413132</v>
      </c>
      <c r="E205" s="405">
        <v>50.217376750812555</v>
      </c>
      <c r="F205" s="404">
        <v>50.063416511306905</v>
      </c>
      <c r="G205" s="611"/>
      <c r="H205" s="611"/>
      <c r="I205" s="611"/>
      <c r="J205" s="611"/>
    </row>
    <row r="206" spans="1:10" ht="14.5">
      <c r="A206" s="472"/>
      <c r="B206" s="455" t="s">
        <v>115</v>
      </c>
      <c r="C206" s="405">
        <v>49.924303061576268</v>
      </c>
      <c r="D206" s="405">
        <v>50.130427666739457</v>
      </c>
      <c r="E206" s="405">
        <v>50.24168986221094</v>
      </c>
      <c r="F206" s="404">
        <v>50.100633248637415</v>
      </c>
      <c r="G206" s="611"/>
      <c r="H206" s="611"/>
      <c r="I206" s="611"/>
      <c r="J206" s="611"/>
    </row>
    <row r="207" spans="1:10" ht="14.5">
      <c r="A207" s="472"/>
      <c r="B207" s="456" t="s">
        <v>116</v>
      </c>
      <c r="C207" s="407">
        <v>50.067689351404901</v>
      </c>
      <c r="D207" s="407">
        <v>50.172947811914419</v>
      </c>
      <c r="E207" s="407">
        <v>50.075990638123926</v>
      </c>
      <c r="F207" s="406">
        <v>50.193452695089292</v>
      </c>
      <c r="G207" s="611"/>
      <c r="H207" s="611"/>
      <c r="I207" s="611"/>
      <c r="J207" s="611"/>
    </row>
    <row r="208" spans="1:10" ht="14.5">
      <c r="A208" s="631">
        <v>2021</v>
      </c>
      <c r="B208" s="454" t="s">
        <v>105</v>
      </c>
      <c r="C208" s="403">
        <v>50.036170955949167</v>
      </c>
      <c r="D208" s="403">
        <v>50.070848784668136</v>
      </c>
      <c r="E208" s="403">
        <v>50.260949287873963</v>
      </c>
      <c r="F208" s="402">
        <v>50.030658874331614</v>
      </c>
      <c r="G208" s="611"/>
      <c r="H208" s="611"/>
      <c r="I208" s="611"/>
      <c r="J208" s="611"/>
    </row>
    <row r="209" spans="1:10" ht="14.5">
      <c r="A209" s="480"/>
      <c r="B209" s="455" t="s">
        <v>106</v>
      </c>
      <c r="C209" s="405">
        <v>50.062080369789172</v>
      </c>
      <c r="D209" s="405">
        <v>50.043900039647248</v>
      </c>
      <c r="E209" s="405">
        <v>50.278561835337769</v>
      </c>
      <c r="F209" s="404">
        <v>50.100731215718376</v>
      </c>
      <c r="G209" s="611"/>
      <c r="H209" s="611"/>
      <c r="I209" s="611"/>
      <c r="J209" s="611"/>
    </row>
    <row r="210" spans="1:10" ht="14.5">
      <c r="A210" s="480"/>
      <c r="B210" s="455" t="s">
        <v>107</v>
      </c>
      <c r="C210" s="405">
        <v>50.145827024451847</v>
      </c>
      <c r="D210" s="405">
        <v>50.095923160275269</v>
      </c>
      <c r="E210" s="405">
        <v>50.221118395590707</v>
      </c>
      <c r="F210" s="404">
        <v>50.136945392242339</v>
      </c>
      <c r="G210" s="611"/>
      <c r="H210" s="611"/>
      <c r="I210" s="611"/>
      <c r="J210" s="611"/>
    </row>
    <row r="211" spans="1:10" ht="14.5">
      <c r="A211" s="480"/>
      <c r="B211" s="455" t="s">
        <v>108</v>
      </c>
      <c r="C211" s="405">
        <v>50.083841685559442</v>
      </c>
      <c r="D211" s="405">
        <v>50.153081325712016</v>
      </c>
      <c r="E211" s="405">
        <v>50.15696903933754</v>
      </c>
      <c r="F211" s="404">
        <v>50.229980553918637</v>
      </c>
      <c r="G211" s="611"/>
      <c r="H211" s="611"/>
      <c r="I211" s="611"/>
      <c r="J211" s="611"/>
    </row>
    <row r="212" spans="1:10" ht="14.5">
      <c r="A212" s="480"/>
      <c r="B212" s="455" t="s">
        <v>109</v>
      </c>
      <c r="C212" s="405">
        <v>50.017971858119537</v>
      </c>
      <c r="D212" s="405">
        <v>50.214042368733416</v>
      </c>
      <c r="E212" s="405">
        <v>50.027645623633134</v>
      </c>
      <c r="F212" s="404">
        <v>50.298111621475606</v>
      </c>
      <c r="G212" s="611"/>
      <c r="H212" s="611"/>
      <c r="I212" s="611"/>
      <c r="J212" s="611"/>
    </row>
    <row r="213" spans="1:10" ht="14.5">
      <c r="A213" s="480"/>
      <c r="B213" s="455" t="s">
        <v>110</v>
      </c>
      <c r="C213" s="405">
        <v>50.059566600092424</v>
      </c>
      <c r="D213" s="405">
        <v>50.151146490278073</v>
      </c>
      <c r="E213" s="405">
        <v>50.065744693369332</v>
      </c>
      <c r="F213" s="404">
        <v>50.091572012521866</v>
      </c>
      <c r="G213" s="611"/>
      <c r="H213" s="611"/>
      <c r="I213" s="611"/>
      <c r="J213" s="611"/>
    </row>
    <row r="214" spans="1:10" ht="14.5">
      <c r="A214" s="480"/>
      <c r="B214" s="455" t="s">
        <v>117</v>
      </c>
      <c r="C214" s="405">
        <v>50.160393265483663</v>
      </c>
      <c r="D214" s="405">
        <v>50.152380335691724</v>
      </c>
      <c r="E214" s="405">
        <v>50.037645300437028</v>
      </c>
      <c r="F214" s="404">
        <v>50.137243455979501</v>
      </c>
      <c r="G214" s="611"/>
      <c r="H214" s="611"/>
      <c r="I214" s="611"/>
      <c r="J214" s="611"/>
    </row>
    <row r="215" spans="1:10" ht="14.5">
      <c r="A215" s="480"/>
      <c r="B215" s="455" t="s">
        <v>112</v>
      </c>
      <c r="C215" s="405">
        <v>50.009057151591577</v>
      </c>
      <c r="D215" s="405">
        <v>49.96518828127904</v>
      </c>
      <c r="E215" s="405">
        <v>50.108739566557318</v>
      </c>
      <c r="F215" s="404">
        <v>49.912142403833663</v>
      </c>
      <c r="G215" s="611"/>
      <c r="H215" s="611"/>
      <c r="I215" s="611"/>
      <c r="J215" s="611"/>
    </row>
    <row r="216" spans="1:10" ht="14.5">
      <c r="A216" s="480"/>
      <c r="B216" s="455" t="s">
        <v>113</v>
      </c>
      <c r="C216" s="405">
        <v>49.876809679660354</v>
      </c>
      <c r="D216" s="405">
        <v>49.875277290479701</v>
      </c>
      <c r="E216" s="405">
        <v>50.038443857271155</v>
      </c>
      <c r="F216" s="404">
        <v>50.039674215551393</v>
      </c>
      <c r="G216" s="611"/>
      <c r="H216" s="611"/>
      <c r="I216" s="611"/>
      <c r="J216" s="611"/>
    </row>
    <row r="217" spans="1:10" ht="14.5">
      <c r="A217" s="480"/>
      <c r="B217" s="455" t="s">
        <v>114</v>
      </c>
      <c r="C217" s="405">
        <v>49.948267505884125</v>
      </c>
      <c r="D217" s="405">
        <v>49.922809728219761</v>
      </c>
      <c r="E217" s="405">
        <v>49.95208974555684</v>
      </c>
      <c r="F217" s="404">
        <v>50.007406029500409</v>
      </c>
      <c r="G217" s="611"/>
      <c r="H217" s="611"/>
      <c r="I217" s="611"/>
      <c r="J217" s="611"/>
    </row>
    <row r="218" spans="1:10" ht="14.5">
      <c r="A218" s="472"/>
      <c r="B218" s="455" t="s">
        <v>115</v>
      </c>
      <c r="C218" s="405">
        <v>50.132916414048793</v>
      </c>
      <c r="D218" s="405">
        <v>50.089554005284263</v>
      </c>
      <c r="E218" s="405">
        <v>50.055889426432302</v>
      </c>
      <c r="F218" s="404">
        <v>50.185771081014508</v>
      </c>
      <c r="G218" s="611"/>
      <c r="H218" s="611"/>
      <c r="I218" s="611"/>
      <c r="J218" s="611"/>
    </row>
    <row r="219" spans="1:10" ht="14.5">
      <c r="A219" s="481"/>
      <c r="B219" s="456" t="s">
        <v>116</v>
      </c>
      <c r="C219" s="407">
        <v>50.111484329906119</v>
      </c>
      <c r="D219" s="409">
        <v>50.157329292781014</v>
      </c>
      <c r="E219" s="407">
        <v>50.063974435895737</v>
      </c>
      <c r="F219" s="407">
        <v>50.167983876431691</v>
      </c>
      <c r="G219" s="611"/>
      <c r="H219" s="611"/>
      <c r="I219" s="611"/>
      <c r="J219" s="611"/>
    </row>
    <row r="220" spans="1:10" ht="14.5">
      <c r="A220" s="471">
        <v>2022</v>
      </c>
      <c r="B220" s="454" t="s">
        <v>105</v>
      </c>
      <c r="C220" s="403">
        <v>50.066016770411039</v>
      </c>
      <c r="D220" s="403">
        <v>50.107627340948625</v>
      </c>
      <c r="E220" s="403">
        <v>49.957713175823699</v>
      </c>
      <c r="F220" s="403">
        <v>50.23104439995047</v>
      </c>
      <c r="G220" s="611"/>
      <c r="H220" s="611"/>
      <c r="I220" s="611"/>
      <c r="J220" s="611"/>
    </row>
    <row r="221" spans="1:10" ht="14.5">
      <c r="A221" s="472"/>
      <c r="B221" s="455" t="s">
        <v>106</v>
      </c>
      <c r="C221" s="405">
        <v>50.015618216991861</v>
      </c>
      <c r="D221" s="405">
        <v>50.178058593780833</v>
      </c>
      <c r="E221" s="405">
        <v>50.022850033538241</v>
      </c>
      <c r="F221" s="405">
        <v>50.269942031999186</v>
      </c>
      <c r="G221" s="611"/>
      <c r="H221" s="611"/>
      <c r="I221" s="611"/>
      <c r="J221" s="611"/>
    </row>
    <row r="222" spans="1:10" ht="14.5">
      <c r="A222" s="472"/>
      <c r="B222" s="455" t="s">
        <v>107</v>
      </c>
      <c r="C222" s="405">
        <v>50.111770922386214</v>
      </c>
      <c r="D222" s="405">
        <v>50.083152933425772</v>
      </c>
      <c r="E222" s="405">
        <v>50.126858090477555</v>
      </c>
      <c r="F222" s="405">
        <v>50.154808367639333</v>
      </c>
      <c r="G222" s="611"/>
      <c r="H222" s="611"/>
      <c r="I222" s="611"/>
      <c r="J222" s="611"/>
    </row>
    <row r="223" spans="1:10" ht="14.5">
      <c r="A223" s="472"/>
      <c r="B223" s="455" t="s">
        <v>108</v>
      </c>
      <c r="C223" s="405">
        <v>50.122368365598597</v>
      </c>
      <c r="D223" s="405">
        <v>50.146470788595778</v>
      </c>
      <c r="E223" s="405">
        <v>50.161272510901739</v>
      </c>
      <c r="F223" s="405">
        <v>50.170354287153913</v>
      </c>
      <c r="G223" s="611"/>
      <c r="H223" s="611"/>
      <c r="I223" s="611"/>
      <c r="J223" s="611"/>
    </row>
    <row r="224" spans="1:10" ht="14.5">
      <c r="A224" s="472"/>
      <c r="B224" s="455" t="s">
        <v>109</v>
      </c>
      <c r="C224" s="405">
        <v>50.096630288360423</v>
      </c>
      <c r="D224" s="405">
        <v>50.14748299039956</v>
      </c>
      <c r="E224" s="405">
        <v>50.162775281405146</v>
      </c>
      <c r="F224" s="405">
        <v>50.19485742939176</v>
      </c>
      <c r="G224" s="611"/>
      <c r="H224" s="611"/>
      <c r="I224" s="611"/>
      <c r="J224" s="611"/>
    </row>
    <row r="225" spans="1:10" ht="14.5">
      <c r="A225" s="472"/>
      <c r="B225" s="455" t="s">
        <v>110</v>
      </c>
      <c r="C225" s="405">
        <v>50.054489945652982</v>
      </c>
      <c r="D225" s="405">
        <v>50.141572255426269</v>
      </c>
      <c r="E225" s="405">
        <v>50.187196073395327</v>
      </c>
      <c r="F225" s="405">
        <v>50.028435994043491</v>
      </c>
      <c r="G225" s="611"/>
      <c r="H225" s="611"/>
      <c r="I225" s="611"/>
      <c r="J225" s="611"/>
    </row>
    <row r="226" spans="1:10" ht="14.5">
      <c r="A226" s="472"/>
      <c r="B226" s="455" t="s">
        <v>117</v>
      </c>
      <c r="C226" s="405">
        <v>49.984361228048392</v>
      </c>
      <c r="D226" s="405">
        <v>50.115219474134712</v>
      </c>
      <c r="E226" s="405">
        <v>50.117857517155876</v>
      </c>
      <c r="F226" s="405">
        <v>50.103942902784269</v>
      </c>
      <c r="G226" s="611"/>
      <c r="H226" s="611"/>
      <c r="I226" s="611"/>
      <c r="J226" s="611"/>
    </row>
    <row r="227" spans="1:10" ht="14.5">
      <c r="A227" s="472"/>
      <c r="B227" s="455" t="s">
        <v>112</v>
      </c>
      <c r="C227" s="405">
        <v>50.028867025127724</v>
      </c>
      <c r="D227" s="405">
        <v>50.094214514444452</v>
      </c>
      <c r="E227" s="405">
        <v>50.09338300703935</v>
      </c>
      <c r="F227" s="405">
        <v>50.181625294056865</v>
      </c>
      <c r="G227" s="611"/>
      <c r="H227" s="611"/>
      <c r="I227" s="611"/>
      <c r="J227" s="611"/>
    </row>
    <row r="228" spans="1:10" ht="14.5">
      <c r="A228" s="472"/>
      <c r="B228" s="455" t="s">
        <v>113</v>
      </c>
      <c r="C228" s="405">
        <v>50.042042870586194</v>
      </c>
      <c r="D228" s="405">
        <v>50.080045635276761</v>
      </c>
      <c r="E228" s="405">
        <v>50.181297904971153</v>
      </c>
      <c r="F228" s="405">
        <v>50.100733440542385</v>
      </c>
      <c r="G228" s="611"/>
      <c r="H228" s="611"/>
      <c r="I228" s="611"/>
      <c r="J228" s="611"/>
    </row>
    <row r="229" spans="1:10" ht="14.5">
      <c r="A229" s="472"/>
      <c r="B229" s="455" t="s">
        <v>114</v>
      </c>
      <c r="C229" s="405">
        <v>50.06634663853918</v>
      </c>
      <c r="D229" s="405">
        <v>50.091235070943874</v>
      </c>
      <c r="E229" s="405">
        <v>50.011920730034028</v>
      </c>
      <c r="F229" s="405">
        <v>50.088914680388775</v>
      </c>
      <c r="G229" s="611"/>
      <c r="H229" s="611"/>
      <c r="I229" s="611"/>
      <c r="J229" s="611"/>
    </row>
    <row r="230" spans="1:10" ht="14.5">
      <c r="A230" s="472"/>
      <c r="B230" s="455" t="s">
        <v>115</v>
      </c>
      <c r="C230" s="405">
        <v>50.013029994287464</v>
      </c>
      <c r="D230" s="405">
        <v>50.131182017781065</v>
      </c>
      <c r="E230" s="405">
        <v>50.055670865924434</v>
      </c>
      <c r="F230" s="405">
        <v>49.972783245781308</v>
      </c>
      <c r="G230" s="611"/>
      <c r="H230" s="611"/>
      <c r="I230" s="611"/>
      <c r="J230" s="611"/>
    </row>
    <row r="231" spans="1:10" ht="14.5">
      <c r="A231" s="473"/>
      <c r="B231" s="456" t="s">
        <v>116</v>
      </c>
      <c r="C231" s="407">
        <v>50.067347028575057</v>
      </c>
      <c r="D231" s="407">
        <v>50.11254299390189</v>
      </c>
      <c r="E231" s="407">
        <v>50.086372290280565</v>
      </c>
      <c r="F231" s="407">
        <v>50.050473993470547</v>
      </c>
      <c r="G231" s="611"/>
      <c r="H231" s="611"/>
      <c r="I231" s="611"/>
      <c r="J231" s="611"/>
    </row>
    <row r="232" spans="1:10" ht="14.5">
      <c r="A232" s="471">
        <v>2023</v>
      </c>
      <c r="B232" s="454" t="s">
        <v>105</v>
      </c>
      <c r="C232" s="403">
        <v>49.991204597465767</v>
      </c>
      <c r="D232" s="403">
        <v>50.066371575982451</v>
      </c>
      <c r="E232" s="403">
        <v>50.045868588409505</v>
      </c>
      <c r="F232" s="403">
        <v>50.030081860925605</v>
      </c>
      <c r="G232" s="611"/>
      <c r="H232" s="611"/>
      <c r="I232" s="611"/>
      <c r="J232" s="611"/>
    </row>
    <row r="233" spans="1:10" ht="14.5">
      <c r="A233" s="472"/>
      <c r="B233" s="455" t="s">
        <v>106</v>
      </c>
      <c r="C233" s="405">
        <v>49.946022543583346</v>
      </c>
      <c r="D233" s="405">
        <v>50.112057840882414</v>
      </c>
      <c r="E233" s="405">
        <v>50.065622856658052</v>
      </c>
      <c r="F233" s="405">
        <v>50.121777180986086</v>
      </c>
      <c r="G233" s="611"/>
      <c r="H233" s="611"/>
      <c r="I233" s="611"/>
      <c r="J233" s="611"/>
    </row>
    <row r="234" spans="1:10" ht="14.5">
      <c r="A234" s="472"/>
      <c r="B234" s="455" t="s">
        <v>107</v>
      </c>
      <c r="C234" s="405">
        <v>50.006985583815087</v>
      </c>
      <c r="D234" s="405">
        <v>50.114882298274267</v>
      </c>
      <c r="E234" s="405">
        <v>50.227396973172013</v>
      </c>
      <c r="F234" s="405">
        <v>50.092768009561546</v>
      </c>
      <c r="G234" s="611"/>
      <c r="H234" s="611"/>
      <c r="I234" s="611"/>
      <c r="J234" s="611"/>
    </row>
    <row r="235" spans="1:10" ht="14.5">
      <c r="A235" s="472"/>
      <c r="B235" s="455" t="s">
        <v>108</v>
      </c>
      <c r="C235" s="405">
        <v>50.036630079470761</v>
      </c>
      <c r="D235" s="405">
        <v>50.065228563961377</v>
      </c>
      <c r="E235" s="405">
        <v>50.104156354417348</v>
      </c>
      <c r="F235" s="405">
        <v>50.084637609809285</v>
      </c>
      <c r="G235" s="611"/>
      <c r="H235" s="611"/>
      <c r="I235" s="611"/>
      <c r="J235" s="611"/>
    </row>
    <row r="236" spans="1:10" ht="14.5">
      <c r="A236" s="472"/>
      <c r="B236" s="455" t="s">
        <v>109</v>
      </c>
      <c r="C236" s="405">
        <v>50.044343807006548</v>
      </c>
      <c r="D236" s="405">
        <v>50.042884868860803</v>
      </c>
      <c r="E236" s="405">
        <v>50.148639890974572</v>
      </c>
      <c r="F236" s="405">
        <v>50.049859096878407</v>
      </c>
      <c r="G236" s="611"/>
      <c r="H236" s="611"/>
      <c r="I236" s="611"/>
      <c r="J236" s="611"/>
    </row>
    <row r="237" spans="1:10" ht="14.5">
      <c r="A237" s="472"/>
      <c r="B237" s="455" t="s">
        <v>110</v>
      </c>
      <c r="C237" s="405">
        <v>50.036509867320575</v>
      </c>
      <c r="D237" s="405">
        <v>50.083267110119941</v>
      </c>
      <c r="E237" s="405">
        <v>50.28308796878742</v>
      </c>
      <c r="F237" s="405">
        <v>50.153269084055545</v>
      </c>
      <c r="G237" s="611"/>
      <c r="H237" s="611"/>
      <c r="I237" s="611"/>
      <c r="J237" s="611"/>
    </row>
    <row r="238" spans="1:10" ht="14.5">
      <c r="A238" s="472"/>
      <c r="B238" s="455" t="s">
        <v>117</v>
      </c>
      <c r="C238" s="405">
        <v>50.035666005695077</v>
      </c>
      <c r="D238" s="405">
        <v>50.033093614170213</v>
      </c>
      <c r="E238" s="405">
        <v>50.07443908937335</v>
      </c>
      <c r="F238" s="405">
        <v>50.118627378923946</v>
      </c>
      <c r="G238" s="611"/>
      <c r="H238" s="611"/>
      <c r="I238" s="611"/>
      <c r="J238" s="611"/>
    </row>
    <row r="239" spans="1:10" ht="14.5">
      <c r="A239" s="472"/>
      <c r="B239" s="455" t="s">
        <v>112</v>
      </c>
      <c r="C239" s="405">
        <v>50.035559519746961</v>
      </c>
      <c r="D239" s="405">
        <v>50.031890920229742</v>
      </c>
      <c r="E239" s="405">
        <v>50.159896017334518</v>
      </c>
      <c r="F239" s="405">
        <v>50.064358047056032</v>
      </c>
      <c r="G239" s="611"/>
      <c r="H239" s="611"/>
      <c r="I239" s="611"/>
      <c r="J239" s="611"/>
    </row>
    <row r="240" spans="1:10" ht="14.5">
      <c r="A240" s="472"/>
      <c r="B240" s="455" t="s">
        <v>113</v>
      </c>
      <c r="C240" s="405">
        <v>49.974111781766226</v>
      </c>
      <c r="D240" s="405">
        <v>50.068315877048583</v>
      </c>
      <c r="E240" s="405">
        <v>50.149773028085534</v>
      </c>
      <c r="F240" s="405">
        <v>50.076525638642217</v>
      </c>
      <c r="G240" s="611"/>
      <c r="H240" s="611"/>
      <c r="I240" s="611"/>
      <c r="J240" s="611"/>
    </row>
    <row r="241" spans="1:10" ht="14.5">
      <c r="A241" s="472"/>
      <c r="B241" s="455" t="s">
        <v>114</v>
      </c>
      <c r="C241" s="405">
        <v>49.965931160920697</v>
      </c>
      <c r="D241" s="405">
        <v>50.056511839215283</v>
      </c>
      <c r="E241" s="405">
        <v>50.260445785508715</v>
      </c>
      <c r="F241" s="405">
        <v>50.055829939424669</v>
      </c>
      <c r="G241" s="611"/>
      <c r="H241" s="611"/>
      <c r="I241" s="611"/>
      <c r="J241" s="611"/>
    </row>
    <row r="242" spans="1:10" ht="14.5">
      <c r="A242" s="472"/>
      <c r="B242" s="455" t="s">
        <v>115</v>
      </c>
      <c r="C242" s="405">
        <v>49.913143861958055</v>
      </c>
      <c r="D242" s="405">
        <v>50.117466038104752</v>
      </c>
      <c r="E242" s="405">
        <v>50.258177248997818</v>
      </c>
      <c r="F242" s="405">
        <v>50.030294735323295</v>
      </c>
      <c r="G242" s="611"/>
      <c r="H242" s="611"/>
      <c r="I242" s="611"/>
      <c r="J242" s="611"/>
    </row>
    <row r="243" spans="1:10" ht="14.5">
      <c r="A243" s="473"/>
      <c r="B243" s="456" t="s">
        <v>116</v>
      </c>
      <c r="C243" s="407">
        <v>49.941392481779999</v>
      </c>
      <c r="D243" s="407">
        <v>50.107438076859459</v>
      </c>
      <c r="E243" s="407">
        <v>50.123978666044309</v>
      </c>
      <c r="F243" s="407">
        <v>50.073094275306282</v>
      </c>
      <c r="G243" s="611"/>
      <c r="H243" s="611"/>
      <c r="I243" s="611"/>
      <c r="J243" s="611"/>
    </row>
    <row r="244" spans="1:10" ht="14.5">
      <c r="A244" s="471">
        <v>2024</v>
      </c>
      <c r="B244" s="454" t="s">
        <v>105</v>
      </c>
      <c r="C244" s="403">
        <v>49.982273121013066</v>
      </c>
      <c r="D244" s="403">
        <v>50.09780567134645</v>
      </c>
      <c r="E244" s="403">
        <v>50.112910986711611</v>
      </c>
      <c r="F244" s="403">
        <v>50.078601946413599</v>
      </c>
      <c r="G244" s="611"/>
      <c r="H244" s="611"/>
      <c r="I244" s="611"/>
      <c r="J244" s="611"/>
    </row>
    <row r="245" spans="1:10" ht="14.5">
      <c r="A245" s="472"/>
      <c r="B245" s="455" t="s">
        <v>106</v>
      </c>
      <c r="C245" s="405">
        <v>50.002308123236752</v>
      </c>
      <c r="D245" s="405">
        <v>50.147821033611571</v>
      </c>
      <c r="E245" s="405">
        <v>50.04794060911928</v>
      </c>
      <c r="F245" s="405">
        <v>50.208743052614437</v>
      </c>
      <c r="G245" s="611"/>
      <c r="H245" s="611"/>
      <c r="I245" s="611"/>
      <c r="J245" s="611"/>
    </row>
    <row r="246" spans="1:10" ht="14.5">
      <c r="A246" s="472"/>
      <c r="B246" s="455" t="s">
        <v>107</v>
      </c>
      <c r="C246" s="405">
        <v>50.026745222004202</v>
      </c>
      <c r="D246" s="405">
        <v>50.086493189876016</v>
      </c>
      <c r="E246" s="405">
        <v>50.087321227740659</v>
      </c>
      <c r="F246" s="405">
        <v>50.317343207109474</v>
      </c>
      <c r="G246" s="611"/>
      <c r="H246" s="611"/>
      <c r="I246" s="611"/>
      <c r="J246" s="611"/>
    </row>
    <row r="247" spans="1:10" ht="14.5">
      <c r="A247" s="472"/>
      <c r="B247" s="455" t="s">
        <v>108</v>
      </c>
      <c r="C247" s="632">
        <v>50.042169959757075</v>
      </c>
      <c r="D247" s="632">
        <v>50.030009447891729</v>
      </c>
      <c r="E247" s="632">
        <v>50.017868401492585</v>
      </c>
      <c r="F247" s="632">
        <v>50.308447663263237</v>
      </c>
      <c r="G247" s="611"/>
      <c r="H247" s="611"/>
      <c r="I247" s="611"/>
      <c r="J247" s="611"/>
    </row>
    <row r="248" spans="1:10" ht="14.5">
      <c r="A248" s="472"/>
      <c r="B248" s="455" t="s">
        <v>109</v>
      </c>
      <c r="C248" s="405">
        <v>50.041182704183868</v>
      </c>
      <c r="D248" s="405">
        <v>50.038649043896427</v>
      </c>
      <c r="E248" s="405">
        <v>50.027443864446667</v>
      </c>
      <c r="F248" s="405">
        <v>50.238974008526391</v>
      </c>
      <c r="G248" s="611"/>
      <c r="H248" s="611"/>
      <c r="I248" s="611"/>
      <c r="J248" s="611"/>
    </row>
    <row r="249" spans="1:10" ht="14.5">
      <c r="A249" s="472"/>
      <c r="B249" s="455" t="s">
        <v>110</v>
      </c>
      <c r="C249" s="405">
        <v>50.001644393200529</v>
      </c>
      <c r="D249" s="405">
        <v>50.04927613069421</v>
      </c>
      <c r="E249" s="405">
        <v>50.010932260852954</v>
      </c>
      <c r="F249" s="405">
        <v>50.0887408922828</v>
      </c>
      <c r="G249" s="611"/>
      <c r="H249" s="611"/>
      <c r="I249" s="611"/>
      <c r="J249" s="611"/>
    </row>
    <row r="250" spans="1:10" ht="14.5">
      <c r="A250" s="472"/>
      <c r="B250" s="455" t="s">
        <v>117</v>
      </c>
      <c r="C250" s="405">
        <v>50.1</v>
      </c>
      <c r="D250" s="405">
        <v>50</v>
      </c>
      <c r="E250" s="405">
        <v>50.7</v>
      </c>
      <c r="F250" s="405">
        <v>50.2</v>
      </c>
      <c r="G250" s="611"/>
      <c r="H250" s="611"/>
      <c r="I250" s="611"/>
      <c r="J250" s="611"/>
    </row>
    <row r="251" spans="1:10" ht="14.5">
      <c r="A251" s="472"/>
      <c r="B251" s="455" t="s">
        <v>112</v>
      </c>
      <c r="C251" s="405">
        <v>50.038579087173979</v>
      </c>
      <c r="D251" s="405">
        <v>50.025644554954944</v>
      </c>
      <c r="E251" s="405">
        <v>50.013748384619973</v>
      </c>
      <c r="F251" s="405">
        <v>50.083483546947768</v>
      </c>
      <c r="G251" s="611"/>
      <c r="H251" s="611"/>
      <c r="I251" s="611"/>
      <c r="J251" s="611"/>
    </row>
    <row r="252" spans="1:10" ht="14.5">
      <c r="A252" s="472"/>
      <c r="B252" s="455" t="s">
        <v>113</v>
      </c>
      <c r="C252" s="405">
        <v>50.039162879649048</v>
      </c>
      <c r="D252" s="405">
        <v>50.031544535462793</v>
      </c>
      <c r="E252" s="405">
        <v>50.006737695500007</v>
      </c>
      <c r="F252" s="405">
        <v>50.066295442380678</v>
      </c>
      <c r="G252" s="611"/>
      <c r="H252" s="611"/>
      <c r="I252" s="611"/>
      <c r="J252" s="611"/>
    </row>
    <row r="253" spans="1:10" ht="14.5">
      <c r="A253" s="472"/>
      <c r="B253" s="455" t="s">
        <v>114</v>
      </c>
      <c r="C253" s="405">
        <v>50.006031723761971</v>
      </c>
      <c r="D253" s="405">
        <v>50.021683057319954</v>
      </c>
      <c r="E253" s="405">
        <v>50.029562060665704</v>
      </c>
      <c r="F253" s="405">
        <v>50.031786202412938</v>
      </c>
      <c r="G253" s="611"/>
      <c r="H253" s="611"/>
      <c r="I253" s="611"/>
      <c r="J253" s="611"/>
    </row>
    <row r="254" spans="1:10" ht="14.5">
      <c r="A254" s="472"/>
      <c r="B254" s="455" t="s">
        <v>115</v>
      </c>
      <c r="C254" s="405">
        <v>49.991064433471458</v>
      </c>
      <c r="D254" s="405">
        <v>50.232909815259433</v>
      </c>
      <c r="E254" s="405">
        <v>50.028467622235816</v>
      </c>
      <c r="F254" s="405">
        <v>50.066133313762307</v>
      </c>
      <c r="G254" s="611"/>
      <c r="H254" s="611"/>
      <c r="I254" s="611"/>
      <c r="J254" s="611"/>
    </row>
    <row r="255" spans="1:10" ht="14.5">
      <c r="A255" s="473"/>
      <c r="B255" s="456" t="s">
        <v>116</v>
      </c>
      <c r="C255" s="407">
        <v>50</v>
      </c>
      <c r="D255" s="407">
        <v>50</v>
      </c>
      <c r="E255" s="407">
        <v>50</v>
      </c>
      <c r="F255" s="407">
        <v>50.1</v>
      </c>
      <c r="G255" s="611"/>
      <c r="H255" s="611"/>
      <c r="I255" s="611"/>
      <c r="J255" s="611"/>
    </row>
    <row r="256" spans="1:10" ht="14.5">
      <c r="A256" s="471">
        <v>2025</v>
      </c>
      <c r="B256" s="454" t="s">
        <v>105</v>
      </c>
      <c r="C256" s="403">
        <v>50.036523595673323</v>
      </c>
      <c r="D256" s="403">
        <v>50.012748448551243</v>
      </c>
      <c r="E256" s="403">
        <v>50.01868927802925</v>
      </c>
      <c r="F256" s="403">
        <v>50.1290585577513</v>
      </c>
      <c r="G256" s="611"/>
      <c r="H256" s="611"/>
      <c r="I256" s="611"/>
      <c r="J256" s="611"/>
    </row>
    <row r="257" spans="1:10" ht="14.5">
      <c r="A257" s="472"/>
      <c r="B257" s="455" t="s">
        <v>106</v>
      </c>
      <c r="C257" s="405">
        <v>50.04324279437882</v>
      </c>
      <c r="D257" s="405">
        <v>50.233555597681921</v>
      </c>
      <c r="E257" s="405">
        <v>50.02628436902841</v>
      </c>
      <c r="F257" s="405">
        <v>50.103836658914808</v>
      </c>
      <c r="G257" s="611"/>
      <c r="H257" s="611"/>
      <c r="I257" s="611"/>
      <c r="J257" s="611"/>
    </row>
    <row r="258" spans="1:10" ht="14.5">
      <c r="A258" s="472"/>
      <c r="B258" s="455" t="s">
        <v>107</v>
      </c>
      <c r="C258" s="405">
        <v>50.042518461297895</v>
      </c>
      <c r="D258" s="405">
        <v>50.06830600542385</v>
      </c>
      <c r="E258" s="405">
        <v>50.467855409842727</v>
      </c>
      <c r="F258" s="405">
        <v>50.13935962763734</v>
      </c>
      <c r="G258" s="611"/>
      <c r="H258" s="611"/>
      <c r="I258" s="611"/>
      <c r="J258" s="611"/>
    </row>
    <row r="259" spans="1:10" ht="14.5">
      <c r="A259" s="472"/>
      <c r="B259" s="455" t="s">
        <v>108</v>
      </c>
      <c r="C259" s="405">
        <v>50.002392787516847</v>
      </c>
      <c r="D259" s="405">
        <v>50.041461756120398</v>
      </c>
      <c r="E259" s="405">
        <v>50.129451306246111</v>
      </c>
      <c r="F259" s="405">
        <v>50.169473388026987</v>
      </c>
      <c r="G259" s="611"/>
      <c r="H259" s="611"/>
      <c r="I259" s="611"/>
      <c r="J259" s="611"/>
    </row>
    <row r="260" spans="1:10" ht="14.5">
      <c r="A260" s="472"/>
      <c r="B260" s="455" t="s">
        <v>109</v>
      </c>
      <c r="C260" s="405">
        <v>49.974164548684243</v>
      </c>
      <c r="D260" s="405">
        <v>50.233716070935493</v>
      </c>
      <c r="E260" s="405">
        <v>50.136234469823314</v>
      </c>
      <c r="F260" s="405">
        <v>50.053857033172989</v>
      </c>
      <c r="G260" s="611"/>
      <c r="H260" s="611"/>
      <c r="I260" s="611"/>
      <c r="J260" s="611"/>
    </row>
    <row r="261" spans="1:10" ht="14.5">
      <c r="A261" s="472"/>
      <c r="B261" s="455" t="s">
        <v>110</v>
      </c>
      <c r="C261" s="710">
        <v>50</v>
      </c>
      <c r="D261" s="710">
        <v>50</v>
      </c>
      <c r="E261" s="710">
        <v>50.2</v>
      </c>
      <c r="F261" s="710">
        <v>50.5</v>
      </c>
      <c r="G261" s="611"/>
      <c r="H261" s="611"/>
      <c r="I261" s="611"/>
      <c r="J261" s="611"/>
    </row>
    <row r="262" spans="1:10" ht="14.5">
      <c r="A262" s="472"/>
      <c r="B262" s="455" t="s">
        <v>117</v>
      </c>
      <c r="C262" s="710">
        <v>50.035856248371601</v>
      </c>
      <c r="D262" s="710">
        <v>50.037762620757199</v>
      </c>
      <c r="E262" s="710">
        <v>50.161530432605602</v>
      </c>
      <c r="F262" s="710">
        <v>50.436433372829804</v>
      </c>
      <c r="G262" s="611"/>
      <c r="H262" s="611"/>
      <c r="I262" s="611"/>
      <c r="J262" s="611"/>
    </row>
    <row r="263" spans="1:10" ht="14.5">
      <c r="A263" s="473"/>
      <c r="B263" s="456" t="s">
        <v>112</v>
      </c>
      <c r="C263" s="711">
        <v>49.9719113544352</v>
      </c>
      <c r="D263" s="711">
        <v>50.010861139834503</v>
      </c>
      <c r="E263" s="711">
        <v>50.0180649249466</v>
      </c>
      <c r="F263" s="711">
        <v>50.472215267675899</v>
      </c>
      <c r="G263" s="611"/>
      <c r="H263" s="611"/>
      <c r="I263" s="611"/>
      <c r="J263" s="611"/>
    </row>
    <row r="264" spans="1:10">
      <c r="G264" s="611"/>
      <c r="H264" s="611"/>
      <c r="I264" s="611"/>
      <c r="J264" s="611"/>
    </row>
    <row r="265" spans="1:10" ht="14.5">
      <c r="A265" s="869" t="s">
        <v>369</v>
      </c>
      <c r="B265" s="869"/>
      <c r="C265" s="869"/>
      <c r="D265" s="869"/>
      <c r="E265" s="869"/>
      <c r="F265" s="869"/>
      <c r="G265" s="611"/>
      <c r="H265" s="611"/>
      <c r="I265" s="611"/>
      <c r="J265" s="611"/>
    </row>
    <row r="266" spans="1:10" ht="14.5">
      <c r="A266" s="735" t="s">
        <v>98</v>
      </c>
      <c r="B266" s="739"/>
      <c r="C266" s="864" t="s">
        <v>361</v>
      </c>
      <c r="D266" s="865"/>
      <c r="E266" s="865"/>
      <c r="F266" s="866"/>
      <c r="G266" s="611"/>
      <c r="H266" s="611"/>
      <c r="I266" s="611"/>
      <c r="J266" s="611"/>
    </row>
    <row r="267" spans="1:10" ht="45" customHeight="1">
      <c r="A267" s="740"/>
      <c r="B267" s="741"/>
      <c r="C267" s="557" t="s">
        <v>362</v>
      </c>
      <c r="D267" s="557" t="s">
        <v>363</v>
      </c>
      <c r="E267" s="557" t="s">
        <v>364</v>
      </c>
      <c r="F267" s="556" t="s">
        <v>365</v>
      </c>
      <c r="G267" s="611"/>
      <c r="H267" s="611"/>
      <c r="I267" s="611"/>
      <c r="J267" s="611"/>
    </row>
    <row r="268" spans="1:10" ht="14.5">
      <c r="A268" s="471">
        <v>2020</v>
      </c>
      <c r="B268" s="453" t="s">
        <v>112</v>
      </c>
      <c r="C268" s="403">
        <v>50.079977299446909</v>
      </c>
      <c r="D268" s="403">
        <v>50.288785495196457</v>
      </c>
      <c r="E268" s="403">
        <v>50.336130117580758</v>
      </c>
      <c r="F268" s="402">
        <v>50.37631364601269</v>
      </c>
      <c r="G268" s="611"/>
      <c r="H268" s="611"/>
      <c r="I268" s="611"/>
      <c r="J268" s="611"/>
    </row>
    <row r="269" spans="1:10" ht="14.5">
      <c r="A269" s="472"/>
      <c r="B269" s="455" t="s">
        <v>113</v>
      </c>
      <c r="C269" s="405">
        <v>50.171703436887249</v>
      </c>
      <c r="D269" s="405">
        <v>50.204703744946613</v>
      </c>
      <c r="E269" s="405">
        <v>50.281725593079535</v>
      </c>
      <c r="F269" s="404">
        <v>50.358857133901864</v>
      </c>
      <c r="G269" s="611"/>
      <c r="H269" s="611"/>
      <c r="I269" s="611"/>
      <c r="J269" s="611"/>
    </row>
    <row r="270" spans="1:10" ht="14.5">
      <c r="A270" s="472"/>
      <c r="B270" s="455" t="s">
        <v>114</v>
      </c>
      <c r="C270" s="405">
        <v>49.997709876818739</v>
      </c>
      <c r="D270" s="405">
        <v>50.231905130079063</v>
      </c>
      <c r="E270" s="405">
        <v>50.26186356852066</v>
      </c>
      <c r="F270" s="404">
        <v>50.492285027576273</v>
      </c>
      <c r="G270" s="611"/>
      <c r="H270" s="611"/>
      <c r="I270" s="611"/>
      <c r="J270" s="611"/>
    </row>
    <row r="271" spans="1:10" ht="14.5">
      <c r="A271" s="472"/>
      <c r="B271" s="455" t="s">
        <v>115</v>
      </c>
      <c r="C271" s="405">
        <v>50.180173721543788</v>
      </c>
      <c r="D271" s="405">
        <v>50.228853564425386</v>
      </c>
      <c r="E271" s="405">
        <v>50.338025124190011</v>
      </c>
      <c r="F271" s="404">
        <v>50.418827799115789</v>
      </c>
      <c r="G271" s="611"/>
      <c r="H271" s="611"/>
      <c r="I271" s="611"/>
      <c r="J271" s="611"/>
    </row>
    <row r="272" spans="1:10" ht="14.5">
      <c r="A272" s="472"/>
      <c r="B272" s="456" t="s">
        <v>116</v>
      </c>
      <c r="C272" s="407">
        <v>50.062226520717743</v>
      </c>
      <c r="D272" s="407">
        <v>50.256526039255633</v>
      </c>
      <c r="E272" s="407">
        <v>50.176689607445375</v>
      </c>
      <c r="F272" s="406">
        <v>50.306913330885337</v>
      </c>
      <c r="G272" s="611"/>
      <c r="H272" s="611"/>
      <c r="I272" s="611"/>
      <c r="J272" s="611"/>
    </row>
    <row r="273" spans="1:10" ht="14.5">
      <c r="A273" s="631">
        <v>2021</v>
      </c>
      <c r="B273" s="454" t="s">
        <v>105</v>
      </c>
      <c r="C273" s="403">
        <v>50.076000788650518</v>
      </c>
      <c r="D273" s="403">
        <v>50.31076688598155</v>
      </c>
      <c r="E273" s="403">
        <v>50.280130983491759</v>
      </c>
      <c r="F273" s="402">
        <v>50.429442534500623</v>
      </c>
      <c r="G273" s="611"/>
      <c r="H273" s="611"/>
      <c r="I273" s="611"/>
      <c r="J273" s="611"/>
    </row>
    <row r="274" spans="1:10" ht="14.5">
      <c r="A274" s="480"/>
      <c r="B274" s="455" t="s">
        <v>106</v>
      </c>
      <c r="C274" s="405">
        <v>50.271574678722764</v>
      </c>
      <c r="D274" s="405">
        <v>50.198702980566807</v>
      </c>
      <c r="E274" s="405">
        <v>50.49971733773986</v>
      </c>
      <c r="F274" s="404">
        <v>50.295714675304232</v>
      </c>
      <c r="G274" s="611"/>
      <c r="H274" s="611"/>
      <c r="I274" s="611"/>
      <c r="J274" s="611"/>
    </row>
    <row r="275" spans="1:10" ht="14.5">
      <c r="A275" s="480"/>
      <c r="B275" s="455" t="s">
        <v>107</v>
      </c>
      <c r="C275" s="405">
        <v>50.207442275066214</v>
      </c>
      <c r="D275" s="405">
        <v>50.307609779502123</v>
      </c>
      <c r="E275" s="405">
        <v>50.500062816168189</v>
      </c>
      <c r="F275" s="404">
        <v>50.420960827271323</v>
      </c>
      <c r="G275" s="611"/>
      <c r="H275" s="611"/>
      <c r="I275" s="611"/>
      <c r="J275" s="611"/>
    </row>
    <row r="276" spans="1:10" ht="14.5">
      <c r="A276" s="480"/>
      <c r="B276" s="455" t="s">
        <v>108</v>
      </c>
      <c r="C276" s="405">
        <v>50.29236638008522</v>
      </c>
      <c r="D276" s="405">
        <v>50.364762059164846</v>
      </c>
      <c r="E276" s="405">
        <v>50.366052036780701</v>
      </c>
      <c r="F276" s="404">
        <v>50.210289813271011</v>
      </c>
      <c r="G276" s="611"/>
      <c r="H276" s="611"/>
      <c r="I276" s="611"/>
      <c r="J276" s="611"/>
    </row>
    <row r="277" spans="1:10" ht="14.5">
      <c r="A277" s="480"/>
      <c r="B277" s="455" t="s">
        <v>109</v>
      </c>
      <c r="C277" s="405">
        <v>50.195679773271124</v>
      </c>
      <c r="D277" s="405">
        <v>50.215807307444891</v>
      </c>
      <c r="E277" s="405">
        <v>50.431904686148371</v>
      </c>
      <c r="F277" s="404">
        <v>50.366309758519442</v>
      </c>
      <c r="G277" s="611"/>
      <c r="H277" s="611"/>
      <c r="I277" s="611"/>
      <c r="J277" s="611"/>
    </row>
    <row r="278" spans="1:10" ht="14.5">
      <c r="A278" s="480"/>
      <c r="B278" s="455" t="s">
        <v>110</v>
      </c>
      <c r="C278" s="405">
        <v>50.15513684378449</v>
      </c>
      <c r="D278" s="405">
        <v>50.315674831825312</v>
      </c>
      <c r="E278" s="405">
        <v>50.15300930087453</v>
      </c>
      <c r="F278" s="404">
        <v>50.231995326015962</v>
      </c>
      <c r="G278" s="611"/>
      <c r="H278" s="611"/>
      <c r="I278" s="611"/>
      <c r="J278" s="611"/>
    </row>
    <row r="279" spans="1:10" ht="14.5">
      <c r="A279" s="480"/>
      <c r="B279" s="455" t="s">
        <v>117</v>
      </c>
      <c r="C279" s="405">
        <v>50.117530709295167</v>
      </c>
      <c r="D279" s="405">
        <v>50.17262376123152</v>
      </c>
      <c r="E279" s="405">
        <v>50.373261810308982</v>
      </c>
      <c r="F279" s="404">
        <v>50.38480365761022</v>
      </c>
      <c r="G279" s="611"/>
      <c r="H279" s="611"/>
      <c r="I279" s="611"/>
      <c r="J279" s="611"/>
    </row>
    <row r="280" spans="1:10" ht="14.5">
      <c r="A280" s="480"/>
      <c r="B280" s="455" t="s">
        <v>112</v>
      </c>
      <c r="C280" s="405">
        <v>50.065185015981278</v>
      </c>
      <c r="D280" s="405">
        <v>50.198249406181652</v>
      </c>
      <c r="E280" s="405">
        <v>50.210600732225231</v>
      </c>
      <c r="F280" s="404">
        <v>50.114513569626702</v>
      </c>
      <c r="G280" s="611"/>
      <c r="H280" s="611"/>
      <c r="I280" s="611"/>
      <c r="J280" s="611"/>
    </row>
    <row r="281" spans="1:10" ht="14.5">
      <c r="A281" s="480"/>
      <c r="B281" s="455" t="s">
        <v>113</v>
      </c>
      <c r="C281" s="405">
        <v>50.016557272728846</v>
      </c>
      <c r="D281" s="405">
        <v>50.059645869054307</v>
      </c>
      <c r="E281" s="405">
        <v>50.067255164560059</v>
      </c>
      <c r="F281" s="404">
        <v>50.166249718730228</v>
      </c>
      <c r="G281" s="611"/>
      <c r="H281" s="611"/>
      <c r="I281" s="611"/>
      <c r="J281" s="611"/>
    </row>
    <row r="282" spans="1:10" ht="14.5">
      <c r="A282" s="480"/>
      <c r="B282" s="455" t="s">
        <v>114</v>
      </c>
      <c r="C282" s="405">
        <v>50.080582914320424</v>
      </c>
      <c r="D282" s="405">
        <v>50.084206422045455</v>
      </c>
      <c r="E282" s="405">
        <v>50.06853287616515</v>
      </c>
      <c r="F282" s="404">
        <v>50.207623626684189</v>
      </c>
      <c r="G282" s="611"/>
      <c r="H282" s="611"/>
      <c r="I282" s="611"/>
      <c r="J282" s="611"/>
    </row>
    <row r="283" spans="1:10" ht="14.5">
      <c r="A283" s="472"/>
      <c r="B283" s="455" t="s">
        <v>115</v>
      </c>
      <c r="C283" s="405">
        <v>50.220066231497462</v>
      </c>
      <c r="D283" s="405">
        <v>50.251585209599</v>
      </c>
      <c r="E283" s="405">
        <v>50.063989279823161</v>
      </c>
      <c r="F283" s="404">
        <v>50.508991806060273</v>
      </c>
      <c r="G283" s="611"/>
      <c r="H283" s="611"/>
      <c r="I283" s="611"/>
      <c r="J283" s="611"/>
    </row>
    <row r="284" spans="1:10" ht="14.5">
      <c r="A284" s="481"/>
      <c r="B284" s="456" t="s">
        <v>116</v>
      </c>
      <c r="C284" s="407">
        <v>50.125960179789843</v>
      </c>
      <c r="D284" s="409">
        <v>50.36423752589959</v>
      </c>
      <c r="E284" s="407">
        <v>50.207789607881267</v>
      </c>
      <c r="F284" s="407">
        <v>50.432455097919537</v>
      </c>
      <c r="G284" s="611"/>
      <c r="H284" s="611"/>
      <c r="I284" s="611"/>
      <c r="J284" s="611"/>
    </row>
    <row r="285" spans="1:10" ht="14.5">
      <c r="A285" s="471">
        <v>2022</v>
      </c>
      <c r="B285" s="454" t="s">
        <v>105</v>
      </c>
      <c r="C285" s="403">
        <v>50.166564929214999</v>
      </c>
      <c r="D285" s="403">
        <v>50.250127177640906</v>
      </c>
      <c r="E285" s="403">
        <v>50.322282238670304</v>
      </c>
      <c r="F285" s="403">
        <v>50.310682576890727</v>
      </c>
      <c r="G285" s="611"/>
      <c r="H285" s="611"/>
      <c r="I285" s="611"/>
      <c r="J285" s="611"/>
    </row>
    <row r="286" spans="1:10" ht="14.5">
      <c r="A286" s="472"/>
      <c r="B286" s="455" t="s">
        <v>106</v>
      </c>
      <c r="C286" s="405">
        <v>50.203156658171558</v>
      </c>
      <c r="D286" s="405">
        <v>50.236480191407317</v>
      </c>
      <c r="E286" s="405">
        <v>50.112974722210588</v>
      </c>
      <c r="F286" s="405">
        <v>50.53502026193086</v>
      </c>
      <c r="G286" s="611"/>
      <c r="H286" s="611"/>
      <c r="I286" s="611"/>
      <c r="J286" s="611"/>
    </row>
    <row r="287" spans="1:10" ht="14.5">
      <c r="A287" s="472"/>
      <c r="B287" s="455" t="s">
        <v>107</v>
      </c>
      <c r="C287" s="405">
        <v>50.266583062591849</v>
      </c>
      <c r="D287" s="405">
        <v>50.222756132927088</v>
      </c>
      <c r="E287" s="405">
        <v>50.09929357037084</v>
      </c>
      <c r="F287" s="405">
        <v>50.188773411285752</v>
      </c>
      <c r="G287" s="611"/>
      <c r="H287" s="611"/>
      <c r="I287" s="611"/>
      <c r="J287" s="611"/>
    </row>
    <row r="288" spans="1:10" ht="14.5">
      <c r="A288" s="472"/>
      <c r="B288" s="455" t="s">
        <v>108</v>
      </c>
      <c r="C288" s="405">
        <v>50.222064078432005</v>
      </c>
      <c r="D288" s="405">
        <v>50.315631065732809</v>
      </c>
      <c r="E288" s="405">
        <v>50.294864020543493</v>
      </c>
      <c r="F288" s="405">
        <v>50.287189387772955</v>
      </c>
      <c r="G288" s="611"/>
      <c r="H288" s="611"/>
      <c r="I288" s="611"/>
      <c r="J288" s="611"/>
    </row>
    <row r="289" spans="1:10" ht="14.5">
      <c r="A289" s="472"/>
      <c r="B289" s="455" t="s">
        <v>109</v>
      </c>
      <c r="C289" s="405">
        <v>50.047737516324091</v>
      </c>
      <c r="D289" s="405">
        <v>50.213392874730211</v>
      </c>
      <c r="E289" s="405">
        <v>50.301966239318034</v>
      </c>
      <c r="F289" s="405">
        <v>50.311969413098907</v>
      </c>
      <c r="G289" s="611"/>
      <c r="H289" s="611"/>
      <c r="I289" s="611"/>
      <c r="J289" s="611"/>
    </row>
    <row r="290" spans="1:10" ht="14.5">
      <c r="A290" s="472"/>
      <c r="B290" s="455" t="s">
        <v>110</v>
      </c>
      <c r="C290" s="405">
        <v>50.275169758470923</v>
      </c>
      <c r="D290" s="405">
        <v>50.205606221323727</v>
      </c>
      <c r="E290" s="405">
        <v>50.222415814121412</v>
      </c>
      <c r="F290" s="405">
        <v>50.33232519730204</v>
      </c>
      <c r="G290" s="611"/>
      <c r="H290" s="611"/>
      <c r="I290" s="611"/>
      <c r="J290" s="611"/>
    </row>
    <row r="291" spans="1:10" ht="14.5">
      <c r="A291" s="472"/>
      <c r="B291" s="455" t="s">
        <v>117</v>
      </c>
      <c r="C291" s="405">
        <v>50.045418579296587</v>
      </c>
      <c r="D291" s="405">
        <v>50.159370761813541</v>
      </c>
      <c r="E291" s="405">
        <v>50.198133393108911</v>
      </c>
      <c r="F291" s="405">
        <v>50.331332821676924</v>
      </c>
      <c r="G291" s="611"/>
      <c r="H291" s="611"/>
      <c r="I291" s="611"/>
      <c r="J291" s="611"/>
    </row>
    <row r="292" spans="1:10" ht="14.5">
      <c r="A292" s="472"/>
      <c r="B292" s="455" t="s">
        <v>112</v>
      </c>
      <c r="C292" s="405">
        <v>50.057265443762603</v>
      </c>
      <c r="D292" s="405">
        <v>50.236667362438887</v>
      </c>
      <c r="E292" s="405">
        <v>50.166129844458247</v>
      </c>
      <c r="F292" s="405">
        <v>50.566342391579894</v>
      </c>
      <c r="G292" s="611"/>
      <c r="H292" s="611"/>
      <c r="I292" s="611"/>
      <c r="J292" s="611"/>
    </row>
    <row r="293" spans="1:10" ht="14.5">
      <c r="A293" s="472"/>
      <c r="B293" s="455" t="s">
        <v>113</v>
      </c>
      <c r="C293" s="405">
        <v>50.160485490373489</v>
      </c>
      <c r="D293" s="405">
        <v>50.13007417595459</v>
      </c>
      <c r="E293" s="405">
        <v>50.167472651444349</v>
      </c>
      <c r="F293" s="405">
        <v>50.246816625791098</v>
      </c>
      <c r="G293" s="611"/>
      <c r="H293" s="611"/>
      <c r="I293" s="611"/>
      <c r="J293" s="611"/>
    </row>
    <row r="294" spans="1:10" ht="14.5">
      <c r="A294" s="472"/>
      <c r="B294" s="455" t="s">
        <v>114</v>
      </c>
      <c r="C294" s="405">
        <v>50.094368516807378</v>
      </c>
      <c r="D294" s="405">
        <v>50.241805322756115</v>
      </c>
      <c r="E294" s="405">
        <v>50.257278644243883</v>
      </c>
      <c r="F294" s="405">
        <v>50.226917777411224</v>
      </c>
      <c r="G294" s="611"/>
      <c r="H294" s="611"/>
      <c r="I294" s="611"/>
      <c r="J294" s="611"/>
    </row>
    <row r="295" spans="1:10" ht="14.5">
      <c r="A295" s="472"/>
      <c r="B295" s="455" t="s">
        <v>115</v>
      </c>
      <c r="C295" s="405">
        <v>50.036094971740447</v>
      </c>
      <c r="D295" s="405">
        <v>50.268616831381109</v>
      </c>
      <c r="E295" s="405">
        <v>50.278255308578792</v>
      </c>
      <c r="F295" s="405">
        <v>50.162345753649568</v>
      </c>
      <c r="G295" s="611"/>
      <c r="H295" s="611"/>
      <c r="I295" s="611"/>
      <c r="J295" s="611"/>
    </row>
    <row r="296" spans="1:10" ht="14.5">
      <c r="A296" s="473"/>
      <c r="B296" s="456" t="s">
        <v>116</v>
      </c>
      <c r="C296" s="407">
        <v>50.159452854972692</v>
      </c>
      <c r="D296" s="407">
        <v>50.213743184278364</v>
      </c>
      <c r="E296" s="407">
        <v>50.240449214064455</v>
      </c>
      <c r="F296" s="407">
        <v>50.344061609588742</v>
      </c>
      <c r="G296" s="611"/>
      <c r="H296" s="611"/>
      <c r="I296" s="611"/>
      <c r="J296" s="611"/>
    </row>
    <row r="297" spans="1:10" ht="14.5">
      <c r="A297" s="471">
        <v>2023</v>
      </c>
      <c r="B297" s="454" t="s">
        <v>105</v>
      </c>
      <c r="C297" s="403">
        <v>50.112696072270971</v>
      </c>
      <c r="D297" s="403">
        <v>50.185324281070542</v>
      </c>
      <c r="E297" s="403">
        <v>50.188810815278515</v>
      </c>
      <c r="F297" s="403">
        <v>50.343346745884745</v>
      </c>
      <c r="G297" s="611"/>
      <c r="H297" s="611"/>
      <c r="I297" s="611"/>
      <c r="J297" s="611"/>
    </row>
    <row r="298" spans="1:10" ht="14.5">
      <c r="A298" s="472"/>
      <c r="B298" s="455" t="s">
        <v>106</v>
      </c>
      <c r="C298" s="405">
        <v>50.044647998979613</v>
      </c>
      <c r="D298" s="405">
        <v>50.257357303201317</v>
      </c>
      <c r="E298" s="405">
        <v>50.078111361207398</v>
      </c>
      <c r="F298" s="405">
        <v>50.403567408545982</v>
      </c>
      <c r="G298" s="611"/>
      <c r="H298" s="611"/>
      <c r="I298" s="611"/>
      <c r="J298" s="611"/>
    </row>
    <row r="299" spans="1:10" ht="14.5">
      <c r="A299" s="472"/>
      <c r="B299" s="455" t="s">
        <v>107</v>
      </c>
      <c r="C299" s="405">
        <v>50.065295172391941</v>
      </c>
      <c r="D299" s="405">
        <v>50.195458653326178</v>
      </c>
      <c r="E299" s="405">
        <v>50.273099433466918</v>
      </c>
      <c r="F299" s="405">
        <v>50.285710847471272</v>
      </c>
      <c r="G299" s="611"/>
      <c r="H299" s="611"/>
      <c r="I299" s="611"/>
      <c r="J299" s="611"/>
    </row>
    <row r="300" spans="1:10" ht="14.5">
      <c r="A300" s="472"/>
      <c r="B300" s="455" t="s">
        <v>108</v>
      </c>
      <c r="C300" s="405">
        <v>50.084685434551936</v>
      </c>
      <c r="D300" s="405">
        <v>50.260523542603565</v>
      </c>
      <c r="E300" s="405">
        <v>50.21671950319277</v>
      </c>
      <c r="F300" s="405">
        <v>50.188838641868678</v>
      </c>
      <c r="G300" s="611"/>
      <c r="H300" s="611"/>
      <c r="I300" s="611"/>
      <c r="J300" s="611"/>
    </row>
    <row r="301" spans="1:10" ht="14.5">
      <c r="A301" s="472"/>
      <c r="B301" s="455" t="s">
        <v>109</v>
      </c>
      <c r="C301" s="405">
        <v>50.12112765157142</v>
      </c>
      <c r="D301" s="405">
        <v>50.154204156939613</v>
      </c>
      <c r="E301" s="405">
        <v>50.251794907456123</v>
      </c>
      <c r="F301" s="405">
        <v>50.180587653016318</v>
      </c>
      <c r="G301" s="611"/>
      <c r="H301" s="611"/>
      <c r="I301" s="611"/>
      <c r="J301" s="611"/>
    </row>
    <row r="302" spans="1:10" ht="14.5">
      <c r="A302" s="472"/>
      <c r="B302" s="455" t="s">
        <v>110</v>
      </c>
      <c r="C302" s="405">
        <v>50.106579629943234</v>
      </c>
      <c r="D302" s="405">
        <v>50.200710217759088</v>
      </c>
      <c r="E302" s="405">
        <v>50.24402761308329</v>
      </c>
      <c r="F302" s="405">
        <v>50.331583709298279</v>
      </c>
      <c r="G302" s="611"/>
      <c r="H302" s="611"/>
      <c r="I302" s="611"/>
      <c r="J302" s="611"/>
    </row>
    <row r="303" spans="1:10" ht="14.5">
      <c r="A303" s="472"/>
      <c r="B303" s="455" t="s">
        <v>117</v>
      </c>
      <c r="C303" s="405">
        <v>50.137007822954018</v>
      </c>
      <c r="D303" s="405">
        <v>50.151208900249721</v>
      </c>
      <c r="E303" s="405">
        <v>50.156075368892715</v>
      </c>
      <c r="F303" s="405">
        <v>50.21981508312254</v>
      </c>
      <c r="G303" s="611"/>
      <c r="H303" s="611"/>
      <c r="I303" s="611"/>
      <c r="J303" s="611"/>
    </row>
    <row r="304" spans="1:10" ht="14.5">
      <c r="A304" s="472"/>
      <c r="B304" s="455" t="s">
        <v>112</v>
      </c>
      <c r="C304" s="405">
        <v>50.056378927049821</v>
      </c>
      <c r="D304" s="405">
        <v>50.133687934384191</v>
      </c>
      <c r="E304" s="405">
        <v>50.184094427532202</v>
      </c>
      <c r="F304" s="405">
        <v>50.27611937887302</v>
      </c>
      <c r="G304" s="611"/>
      <c r="H304" s="611"/>
      <c r="I304" s="611"/>
      <c r="J304" s="611"/>
    </row>
    <row r="305" spans="1:10" ht="14.5">
      <c r="A305" s="472"/>
      <c r="B305" s="455" t="s">
        <v>113</v>
      </c>
      <c r="C305" s="405">
        <v>49.9775233548567</v>
      </c>
      <c r="D305" s="405">
        <v>50.161553088373793</v>
      </c>
      <c r="E305" s="405">
        <v>50.227919036130636</v>
      </c>
      <c r="F305" s="405">
        <v>50.168857851870257</v>
      </c>
      <c r="G305" s="611"/>
      <c r="H305" s="611"/>
      <c r="I305" s="611"/>
      <c r="J305" s="611"/>
    </row>
    <row r="306" spans="1:10" ht="14.5">
      <c r="A306" s="472"/>
      <c r="B306" s="455" t="s">
        <v>114</v>
      </c>
      <c r="C306" s="405">
        <v>50.073075296173236</v>
      </c>
      <c r="D306" s="405">
        <v>50.158442762773234</v>
      </c>
      <c r="E306" s="405">
        <v>50.229970421519063</v>
      </c>
      <c r="F306" s="405">
        <v>50.117562971277046</v>
      </c>
      <c r="G306" s="611"/>
      <c r="H306" s="611"/>
      <c r="I306" s="611"/>
      <c r="J306" s="611"/>
    </row>
    <row r="307" spans="1:10" ht="14.5">
      <c r="A307" s="472"/>
      <c r="B307" s="455" t="s">
        <v>115</v>
      </c>
      <c r="C307" s="405">
        <v>50.058857420594265</v>
      </c>
      <c r="D307" s="405">
        <v>50.211501366350355</v>
      </c>
      <c r="E307" s="405">
        <v>50.125617095621472</v>
      </c>
      <c r="F307" s="405">
        <v>50.256953510440511</v>
      </c>
      <c r="G307" s="611"/>
      <c r="H307" s="611"/>
      <c r="I307" s="611"/>
      <c r="J307" s="611"/>
    </row>
    <row r="308" spans="1:10" ht="14.5">
      <c r="A308" s="473"/>
      <c r="B308" s="456" t="s">
        <v>116</v>
      </c>
      <c r="C308" s="407">
        <v>50.056410203692892</v>
      </c>
      <c r="D308" s="407">
        <v>50.194115021716577</v>
      </c>
      <c r="E308" s="407">
        <v>50.217414410056527</v>
      </c>
      <c r="F308" s="407">
        <v>50.352532368623621</v>
      </c>
      <c r="G308" s="611"/>
      <c r="H308" s="611"/>
      <c r="I308" s="611"/>
      <c r="J308" s="611"/>
    </row>
    <row r="309" spans="1:10" ht="14.5">
      <c r="A309" s="471">
        <v>2024</v>
      </c>
      <c r="B309" s="454" t="s">
        <v>105</v>
      </c>
      <c r="C309" s="403">
        <v>50.128949875225807</v>
      </c>
      <c r="D309" s="403">
        <v>50.216408561968869</v>
      </c>
      <c r="E309" s="403">
        <v>50.23780389175834</v>
      </c>
      <c r="F309" s="403">
        <v>50.283221446668847</v>
      </c>
      <c r="G309" s="611"/>
      <c r="H309" s="611"/>
      <c r="I309" s="611"/>
      <c r="J309" s="611"/>
    </row>
    <row r="310" spans="1:10" ht="14.5">
      <c r="A310" s="472"/>
      <c r="B310" s="455" t="s">
        <v>106</v>
      </c>
      <c r="C310" s="405">
        <v>50.0657925711986</v>
      </c>
      <c r="D310" s="405">
        <v>50.072116619687989</v>
      </c>
      <c r="E310" s="405">
        <v>50.132187653545188</v>
      </c>
      <c r="F310" s="405">
        <v>50.360677744342723</v>
      </c>
      <c r="G310" s="611"/>
      <c r="H310" s="611"/>
      <c r="I310" s="611"/>
      <c r="J310" s="611"/>
    </row>
    <row r="311" spans="1:10" ht="14.5">
      <c r="A311" s="472"/>
      <c r="B311" s="455" t="s">
        <v>107</v>
      </c>
      <c r="C311" s="405">
        <v>50.128740500771841</v>
      </c>
      <c r="D311" s="405">
        <v>49.98336465306074</v>
      </c>
      <c r="E311" s="405">
        <v>50.209589638580283</v>
      </c>
      <c r="F311" s="405">
        <v>50.362311395185067</v>
      </c>
      <c r="G311" s="611"/>
      <c r="H311" s="611"/>
      <c r="I311" s="611"/>
      <c r="J311" s="611"/>
    </row>
    <row r="312" spans="1:10" ht="14.5">
      <c r="A312" s="472"/>
      <c r="B312" s="455" t="s">
        <v>108</v>
      </c>
      <c r="C312" s="632">
        <v>49.976207205458358</v>
      </c>
      <c r="D312" s="632">
        <v>50.049783578773678</v>
      </c>
      <c r="E312" s="632">
        <v>50.02460160968004</v>
      </c>
      <c r="F312" s="632">
        <v>50.291436400182519</v>
      </c>
      <c r="G312" s="611"/>
      <c r="H312" s="611"/>
      <c r="I312" s="611"/>
      <c r="J312" s="611"/>
    </row>
    <row r="313" spans="1:10" ht="14.5">
      <c r="A313" s="472"/>
      <c r="B313" s="455" t="s">
        <v>109</v>
      </c>
      <c r="C313" s="405">
        <v>50.091503618988121</v>
      </c>
      <c r="D313" s="405">
        <v>50.035920241260243</v>
      </c>
      <c r="E313" s="405">
        <v>50.707705236449591</v>
      </c>
      <c r="F313" s="405">
        <v>50.126857383034306</v>
      </c>
      <c r="G313" s="611"/>
      <c r="H313" s="611"/>
      <c r="I313" s="611"/>
      <c r="J313" s="611"/>
    </row>
    <row r="314" spans="1:10" ht="14.5">
      <c r="A314" s="472"/>
      <c r="B314" s="455" t="s">
        <v>110</v>
      </c>
      <c r="C314" s="405">
        <v>50.006599531570203</v>
      </c>
      <c r="D314" s="405">
        <v>50.055856039546633</v>
      </c>
      <c r="E314" s="405">
        <v>50.708287642843388</v>
      </c>
      <c r="F314" s="405">
        <v>50.331721019404725</v>
      </c>
      <c r="G314" s="611"/>
      <c r="H314" s="611"/>
      <c r="I314" s="611"/>
      <c r="J314" s="611"/>
    </row>
    <row r="315" spans="1:10" ht="14.5">
      <c r="A315" s="472"/>
      <c r="B315" s="455" t="s">
        <v>117</v>
      </c>
      <c r="C315" s="405">
        <v>50</v>
      </c>
      <c r="D315" s="405">
        <v>50</v>
      </c>
      <c r="E315" s="405">
        <v>50.7</v>
      </c>
      <c r="F315" s="405">
        <v>50.2</v>
      </c>
      <c r="G315" s="611"/>
      <c r="H315" s="611"/>
      <c r="I315" s="611"/>
      <c r="J315" s="611"/>
    </row>
    <row r="316" spans="1:10" ht="14.5">
      <c r="A316" s="472"/>
      <c r="B316" s="455" t="s">
        <v>112</v>
      </c>
      <c r="C316" s="405">
        <v>50.091044802305298</v>
      </c>
      <c r="D316" s="405">
        <v>50.02985940019795</v>
      </c>
      <c r="E316" s="405">
        <v>50.059289490365515</v>
      </c>
      <c r="F316" s="405">
        <v>50.292414083455846</v>
      </c>
      <c r="G316" s="611"/>
      <c r="H316" s="611"/>
      <c r="I316" s="611"/>
      <c r="J316" s="611"/>
    </row>
    <row r="317" spans="1:10" ht="14.5">
      <c r="A317" s="472"/>
      <c r="B317" s="455" t="s">
        <v>113</v>
      </c>
      <c r="C317" s="405">
        <v>50.09208675774299</v>
      </c>
      <c r="D317" s="405">
        <v>50.026974103790288</v>
      </c>
      <c r="E317" s="405">
        <v>50.67946471951845</v>
      </c>
      <c r="F317" s="405">
        <v>50.147271179885692</v>
      </c>
      <c r="G317" s="611"/>
      <c r="H317" s="611"/>
      <c r="I317" s="611"/>
      <c r="J317" s="611"/>
    </row>
    <row r="318" spans="1:10" ht="14.5">
      <c r="A318" s="472"/>
      <c r="B318" s="455" t="s">
        <v>114</v>
      </c>
      <c r="C318" s="405">
        <v>50.021179068747472</v>
      </c>
      <c r="D318" s="405">
        <v>50.033481398168952</v>
      </c>
      <c r="E318" s="405">
        <v>50.703867197951936</v>
      </c>
      <c r="F318" s="405">
        <v>50.10499373449376</v>
      </c>
      <c r="G318" s="611"/>
      <c r="H318" s="611"/>
      <c r="I318" s="611"/>
      <c r="J318" s="611"/>
    </row>
    <row r="319" spans="1:10" ht="14.5">
      <c r="A319" s="472"/>
      <c r="B319" s="455" t="s">
        <v>115</v>
      </c>
      <c r="C319" s="405">
        <v>50.026063208497682</v>
      </c>
      <c r="D319" s="405">
        <v>50.259824414796029</v>
      </c>
      <c r="E319" s="405">
        <v>50.700743738391516</v>
      </c>
      <c r="F319" s="405">
        <v>50.560342973244246</v>
      </c>
      <c r="G319" s="611"/>
      <c r="H319" s="611"/>
      <c r="I319" s="611"/>
      <c r="J319" s="611"/>
    </row>
    <row r="320" spans="1:10" ht="14.5">
      <c r="A320" s="473"/>
      <c r="B320" s="456" t="s">
        <v>116</v>
      </c>
      <c r="C320" s="407">
        <v>50.1</v>
      </c>
      <c r="D320" s="407">
        <v>50</v>
      </c>
      <c r="E320" s="407">
        <v>50</v>
      </c>
      <c r="F320" s="407">
        <v>50.2</v>
      </c>
      <c r="G320" s="611"/>
      <c r="H320" s="611"/>
      <c r="I320" s="611"/>
      <c r="J320" s="611"/>
    </row>
    <row r="321" spans="1:10" ht="14.5">
      <c r="A321" s="471">
        <v>2025</v>
      </c>
      <c r="B321" s="454" t="s">
        <v>105</v>
      </c>
      <c r="C321" s="403">
        <v>50.016205711664263</v>
      </c>
      <c r="D321" s="403">
        <v>50.012916890621959</v>
      </c>
      <c r="E321" s="403">
        <v>50.259872669394319</v>
      </c>
      <c r="F321" s="403">
        <v>50.111194270976789</v>
      </c>
      <c r="G321" s="611"/>
      <c r="H321" s="611"/>
      <c r="I321" s="611"/>
      <c r="J321" s="611"/>
    </row>
    <row r="322" spans="1:10" ht="14.5">
      <c r="A322" s="472"/>
      <c r="B322" s="455" t="s">
        <v>106</v>
      </c>
      <c r="C322" s="405">
        <v>49.972714849760045</v>
      </c>
      <c r="D322" s="405">
        <v>50.00362956996063</v>
      </c>
      <c r="E322" s="405">
        <v>50.253736023063745</v>
      </c>
      <c r="F322" s="405">
        <v>50.092330129202942</v>
      </c>
      <c r="G322" s="611"/>
      <c r="H322" s="611"/>
      <c r="I322" s="611"/>
      <c r="J322" s="611"/>
    </row>
    <row r="323" spans="1:10" ht="14.5">
      <c r="A323" s="472"/>
      <c r="B323" s="455" t="s">
        <v>107</v>
      </c>
      <c r="C323" s="405">
        <v>50.054693775082804</v>
      </c>
      <c r="D323" s="405">
        <v>50.041351204495101</v>
      </c>
      <c r="E323" s="405">
        <v>50.244421474024918</v>
      </c>
      <c r="F323" s="405">
        <v>50.090269876414695</v>
      </c>
      <c r="G323" s="611"/>
      <c r="H323" s="611"/>
      <c r="I323" s="611"/>
      <c r="J323" s="611"/>
    </row>
    <row r="324" spans="1:10" ht="14.5">
      <c r="A324" s="472"/>
      <c r="B324" s="455" t="s">
        <v>108</v>
      </c>
      <c r="C324" s="405">
        <v>50.065089044488417</v>
      </c>
      <c r="D324" s="405">
        <v>50.04070268960502</v>
      </c>
      <c r="E324" s="405">
        <v>50.198402138136849</v>
      </c>
      <c r="F324" s="405">
        <v>50.082236147946126</v>
      </c>
      <c r="G324" s="611"/>
      <c r="H324" s="611"/>
      <c r="I324" s="611"/>
      <c r="J324" s="611"/>
    </row>
    <row r="325" spans="1:10" ht="14.5">
      <c r="A325" s="472"/>
      <c r="B325" s="455" t="s">
        <v>109</v>
      </c>
      <c r="C325" s="405">
        <v>50.009226720013878</v>
      </c>
      <c r="D325" s="405">
        <v>50.07485777641535</v>
      </c>
      <c r="E325" s="405">
        <v>50.22496172359088</v>
      </c>
      <c r="F325" s="405">
        <v>50.378593385017517</v>
      </c>
      <c r="G325" s="611"/>
      <c r="H325" s="611"/>
      <c r="I325" s="611"/>
      <c r="J325" s="611"/>
    </row>
    <row r="326" spans="1:10" ht="14.5">
      <c r="A326" s="472"/>
      <c r="B326" s="455" t="s">
        <v>110</v>
      </c>
      <c r="C326" s="710">
        <v>50</v>
      </c>
      <c r="D326" s="710">
        <v>50</v>
      </c>
      <c r="E326" s="710">
        <v>50.3</v>
      </c>
      <c r="F326" s="710">
        <v>50.1</v>
      </c>
      <c r="G326" s="611"/>
      <c r="H326" s="611"/>
      <c r="I326" s="611"/>
      <c r="J326" s="611"/>
    </row>
    <row r="327" spans="1:10" ht="14.5">
      <c r="A327" s="472"/>
      <c r="B327" s="455" t="s">
        <v>117</v>
      </c>
      <c r="C327" s="710">
        <v>50.020338962416503</v>
      </c>
      <c r="D327" s="710">
        <v>50.045081020496497</v>
      </c>
      <c r="E327" s="710">
        <v>50.243236635945102</v>
      </c>
      <c r="F327" s="710">
        <v>50.440626029791098</v>
      </c>
      <c r="G327" s="611"/>
      <c r="H327" s="611"/>
      <c r="I327" s="611"/>
      <c r="J327" s="611"/>
    </row>
    <row r="328" spans="1:10" ht="14.5">
      <c r="A328" s="473"/>
      <c r="B328" s="456" t="s">
        <v>112</v>
      </c>
      <c r="C328" s="711">
        <v>50.038992443191503</v>
      </c>
      <c r="D328" s="711">
        <v>50.049681608300197</v>
      </c>
      <c r="E328" s="711">
        <v>50.145152269858499</v>
      </c>
      <c r="F328" s="711">
        <v>50.4806113340289</v>
      </c>
      <c r="G328" s="611"/>
      <c r="H328" s="611"/>
      <c r="I328" s="611"/>
      <c r="J328" s="611"/>
    </row>
    <row r="329" spans="1:10">
      <c r="G329" s="611"/>
      <c r="H329" s="611"/>
      <c r="I329" s="611"/>
      <c r="J329" s="611"/>
    </row>
    <row r="330" spans="1:10" ht="14.5">
      <c r="A330" s="869" t="s">
        <v>370</v>
      </c>
      <c r="B330" s="869"/>
      <c r="C330" s="869"/>
      <c r="D330" s="869"/>
      <c r="E330" s="869"/>
      <c r="F330" s="869"/>
      <c r="G330" s="611"/>
      <c r="H330" s="611"/>
      <c r="I330" s="611"/>
      <c r="J330" s="611"/>
    </row>
    <row r="331" spans="1:10" ht="14.5">
      <c r="A331" s="735" t="s">
        <v>98</v>
      </c>
      <c r="B331" s="739"/>
      <c r="C331" s="864" t="s">
        <v>361</v>
      </c>
      <c r="D331" s="865"/>
      <c r="E331" s="865"/>
      <c r="F331" s="866"/>
      <c r="G331" s="611"/>
      <c r="H331" s="611"/>
      <c r="I331" s="611"/>
      <c r="J331" s="611"/>
    </row>
    <row r="332" spans="1:10" ht="45" customHeight="1">
      <c r="A332" s="740"/>
      <c r="B332" s="741"/>
      <c r="C332" s="557" t="s">
        <v>362</v>
      </c>
      <c r="D332" s="557" t="s">
        <v>363</v>
      </c>
      <c r="E332" s="557" t="s">
        <v>364</v>
      </c>
      <c r="F332" s="556" t="s">
        <v>365</v>
      </c>
      <c r="G332" s="611"/>
      <c r="H332" s="611"/>
      <c r="I332" s="611"/>
      <c r="J332" s="611"/>
    </row>
    <row r="333" spans="1:10" ht="14.5">
      <c r="A333" s="471">
        <v>2020</v>
      </c>
      <c r="B333" s="453" t="s">
        <v>112</v>
      </c>
      <c r="C333" s="403">
        <v>49.94486039371418</v>
      </c>
      <c r="D333" s="403">
        <v>50.13754450261969</v>
      </c>
      <c r="E333" s="403">
        <v>50.099408155661834</v>
      </c>
      <c r="F333" s="402">
        <v>50.165066751395528</v>
      </c>
      <c r="G333" s="611"/>
      <c r="H333" s="611"/>
      <c r="I333" s="611"/>
      <c r="J333" s="611"/>
    </row>
    <row r="334" spans="1:10" ht="14.5">
      <c r="A334" s="472"/>
      <c r="B334" s="455" t="s">
        <v>113</v>
      </c>
      <c r="C334" s="405">
        <v>50.048629051506289</v>
      </c>
      <c r="D334" s="405">
        <v>50.156812500161209</v>
      </c>
      <c r="E334" s="405">
        <v>49.909006705256161</v>
      </c>
      <c r="F334" s="404">
        <v>50.12636296672035</v>
      </c>
      <c r="G334" s="611"/>
      <c r="H334" s="611"/>
      <c r="I334" s="611"/>
      <c r="J334" s="611"/>
    </row>
    <row r="335" spans="1:10" ht="14.5">
      <c r="A335" s="472"/>
      <c r="B335" s="455" t="s">
        <v>114</v>
      </c>
      <c r="C335" s="405">
        <v>49.979338935029602</v>
      </c>
      <c r="D335" s="405">
        <v>50.152971486303755</v>
      </c>
      <c r="E335" s="405">
        <v>50.085924927004704</v>
      </c>
      <c r="F335" s="404">
        <v>50.027216758927473</v>
      </c>
      <c r="G335" s="611"/>
      <c r="H335" s="611"/>
      <c r="I335" s="611"/>
      <c r="J335" s="611"/>
    </row>
    <row r="336" spans="1:10" ht="14.5">
      <c r="A336" s="472"/>
      <c r="B336" s="455" t="s">
        <v>115</v>
      </c>
      <c r="C336" s="405">
        <v>50.075309725622773</v>
      </c>
      <c r="D336" s="405">
        <v>50.13264490497194</v>
      </c>
      <c r="E336" s="405">
        <v>50.073518521056734</v>
      </c>
      <c r="F336" s="404">
        <v>50.115363676723071</v>
      </c>
      <c r="G336" s="611"/>
      <c r="H336" s="611"/>
      <c r="I336" s="611"/>
      <c r="J336" s="611"/>
    </row>
    <row r="337" spans="1:10" ht="14.5">
      <c r="A337" s="472"/>
      <c r="B337" s="456" t="s">
        <v>116</v>
      </c>
      <c r="C337" s="407">
        <v>49.970406036856652</v>
      </c>
      <c r="D337" s="407">
        <v>50.147559804115595</v>
      </c>
      <c r="E337" s="407">
        <v>50.240956379499295</v>
      </c>
      <c r="F337" s="406">
        <v>50.280305368271272</v>
      </c>
      <c r="G337" s="611"/>
      <c r="H337" s="611"/>
      <c r="I337" s="611"/>
      <c r="J337" s="611"/>
    </row>
    <row r="338" spans="1:10" ht="14.5">
      <c r="A338" s="631">
        <v>2021</v>
      </c>
      <c r="B338" s="454" t="s">
        <v>105</v>
      </c>
      <c r="C338" s="403">
        <v>50.056397288330366</v>
      </c>
      <c r="D338" s="403">
        <v>50.216822335403357</v>
      </c>
      <c r="E338" s="403">
        <v>50.189122624513985</v>
      </c>
      <c r="F338" s="402">
        <v>50.116775239870577</v>
      </c>
      <c r="G338" s="611"/>
      <c r="H338" s="611"/>
      <c r="I338" s="611"/>
      <c r="J338" s="611"/>
    </row>
    <row r="339" spans="1:10" ht="14.5">
      <c r="A339" s="480"/>
      <c r="B339" s="455" t="s">
        <v>106</v>
      </c>
      <c r="C339" s="405">
        <v>50.044146702858122</v>
      </c>
      <c r="D339" s="405">
        <v>50.123213741154892</v>
      </c>
      <c r="E339" s="405">
        <v>50.131295041427656</v>
      </c>
      <c r="F339" s="404">
        <v>50.271385466315472</v>
      </c>
      <c r="G339" s="611"/>
      <c r="H339" s="611"/>
      <c r="I339" s="611"/>
      <c r="J339" s="611"/>
    </row>
    <row r="340" spans="1:10" ht="14.5">
      <c r="A340" s="480"/>
      <c r="B340" s="455" t="s">
        <v>107</v>
      </c>
      <c r="C340" s="405">
        <v>50.067624387552002</v>
      </c>
      <c r="D340" s="405">
        <v>50.23692986102057</v>
      </c>
      <c r="E340" s="405">
        <v>50.165104395697739</v>
      </c>
      <c r="F340" s="404">
        <v>50.279717714916991</v>
      </c>
      <c r="G340" s="611"/>
      <c r="H340" s="611"/>
      <c r="I340" s="611"/>
      <c r="J340" s="611"/>
    </row>
    <row r="341" spans="1:10" ht="14.5">
      <c r="A341" s="480"/>
      <c r="B341" s="455" t="s">
        <v>108</v>
      </c>
      <c r="C341" s="405">
        <v>50.082735805726898</v>
      </c>
      <c r="D341" s="405">
        <v>50.229514107525539</v>
      </c>
      <c r="E341" s="405">
        <v>50.204903305217002</v>
      </c>
      <c r="F341" s="404">
        <v>50.129003728595229</v>
      </c>
      <c r="G341" s="611"/>
      <c r="H341" s="611"/>
      <c r="I341" s="611"/>
      <c r="J341" s="611"/>
    </row>
    <row r="342" spans="1:10" ht="14.5">
      <c r="A342" s="480"/>
      <c r="B342" s="455" t="s">
        <v>109</v>
      </c>
      <c r="C342" s="405">
        <v>50.019402752574031</v>
      </c>
      <c r="D342" s="405">
        <v>50.175889417617583</v>
      </c>
      <c r="E342" s="405">
        <v>50.342711159284882</v>
      </c>
      <c r="F342" s="404">
        <v>50.148611241641952</v>
      </c>
      <c r="G342" s="611"/>
      <c r="H342" s="611"/>
      <c r="I342" s="611"/>
      <c r="J342" s="611"/>
    </row>
    <row r="343" spans="1:10" ht="14.5">
      <c r="A343" s="480"/>
      <c r="B343" s="455" t="s">
        <v>110</v>
      </c>
      <c r="C343" s="405">
        <v>50.0073460500804</v>
      </c>
      <c r="D343" s="405">
        <v>50.215517227624673</v>
      </c>
      <c r="E343" s="405">
        <v>50.388696874145857</v>
      </c>
      <c r="F343" s="404">
        <v>50.324562436190931</v>
      </c>
      <c r="G343" s="611"/>
      <c r="H343" s="611"/>
      <c r="I343" s="611"/>
      <c r="J343" s="611"/>
    </row>
    <row r="344" spans="1:10" ht="14.5">
      <c r="A344" s="480"/>
      <c r="B344" s="455" t="s">
        <v>117</v>
      </c>
      <c r="C344" s="405">
        <v>50.020524661886334</v>
      </c>
      <c r="D344" s="405">
        <v>50.237768238291785</v>
      </c>
      <c r="E344" s="405">
        <v>50.38362016606159</v>
      </c>
      <c r="F344" s="404">
        <v>50.210237605285869</v>
      </c>
      <c r="G344" s="611"/>
      <c r="H344" s="611"/>
      <c r="I344" s="611"/>
      <c r="J344" s="611"/>
    </row>
    <row r="345" spans="1:10" ht="14.5">
      <c r="A345" s="480"/>
      <c r="B345" s="455" t="s">
        <v>112</v>
      </c>
      <c r="C345" s="405">
        <v>49.992686315812101</v>
      </c>
      <c r="D345" s="405">
        <v>50.152979540448804</v>
      </c>
      <c r="E345" s="405">
        <v>50.086490590021796</v>
      </c>
      <c r="F345" s="404">
        <v>50.07778812727927</v>
      </c>
      <c r="G345" s="611"/>
      <c r="H345" s="611"/>
      <c r="I345" s="611"/>
      <c r="J345" s="611"/>
    </row>
    <row r="346" spans="1:10" ht="14.5">
      <c r="A346" s="480"/>
      <c r="B346" s="455" t="s">
        <v>113</v>
      </c>
      <c r="C346" s="405">
        <v>49.846575098203033</v>
      </c>
      <c r="D346" s="405">
        <v>50.046295721923933</v>
      </c>
      <c r="E346" s="405">
        <v>50.023875563534972</v>
      </c>
      <c r="F346" s="404">
        <v>50.004456621899045</v>
      </c>
      <c r="G346" s="611"/>
      <c r="H346" s="611"/>
      <c r="I346" s="611"/>
      <c r="J346" s="611"/>
    </row>
    <row r="347" spans="1:10" ht="14.5">
      <c r="A347" s="480"/>
      <c r="B347" s="455" t="s">
        <v>114</v>
      </c>
      <c r="C347" s="405">
        <v>50.0121941572596</v>
      </c>
      <c r="D347" s="405">
        <v>50.083544863512834</v>
      </c>
      <c r="E347" s="405">
        <v>49.990248943156423</v>
      </c>
      <c r="F347" s="404">
        <v>49.936917726266635</v>
      </c>
      <c r="G347" s="611"/>
      <c r="H347" s="611"/>
      <c r="I347" s="611"/>
      <c r="J347" s="611"/>
    </row>
    <row r="348" spans="1:10" ht="14.5">
      <c r="A348" s="472"/>
      <c r="B348" s="455" t="s">
        <v>115</v>
      </c>
      <c r="C348" s="405">
        <v>49.973093972035791</v>
      </c>
      <c r="D348" s="405">
        <v>50.052506989934393</v>
      </c>
      <c r="E348" s="405">
        <v>50.16247742050485</v>
      </c>
      <c r="F348" s="404">
        <v>50.019842150908303</v>
      </c>
      <c r="G348" s="611"/>
      <c r="H348" s="611"/>
      <c r="I348" s="611"/>
      <c r="J348" s="611"/>
    </row>
    <row r="349" spans="1:10" ht="14.5">
      <c r="A349" s="481"/>
      <c r="B349" s="456" t="s">
        <v>116</v>
      </c>
      <c r="C349" s="407">
        <v>50.12570156682753</v>
      </c>
      <c r="D349" s="407">
        <v>50.168286510088727</v>
      </c>
      <c r="E349" s="410">
        <v>50.123507613233578</v>
      </c>
      <c r="F349" s="407">
        <v>50.320463431103832</v>
      </c>
      <c r="G349" s="611"/>
      <c r="H349" s="611"/>
      <c r="I349" s="611"/>
      <c r="J349" s="611"/>
    </row>
    <row r="350" spans="1:10" ht="14.5">
      <c r="A350" s="471">
        <v>2022</v>
      </c>
      <c r="B350" s="454" t="s">
        <v>105</v>
      </c>
      <c r="C350" s="403">
        <v>50.046783786068289</v>
      </c>
      <c r="D350" s="403">
        <v>50.208243204091822</v>
      </c>
      <c r="E350" s="403">
        <v>50.103639764596693</v>
      </c>
      <c r="F350" s="403">
        <v>50.161081085447613</v>
      </c>
      <c r="G350" s="611"/>
      <c r="H350" s="611"/>
      <c r="I350" s="611"/>
      <c r="J350" s="611"/>
    </row>
    <row r="351" spans="1:10" ht="14.5">
      <c r="A351" s="472"/>
      <c r="B351" s="455" t="s">
        <v>106</v>
      </c>
      <c r="C351" s="405">
        <v>50.04624318158384</v>
      </c>
      <c r="D351" s="405">
        <v>50.130992488790426</v>
      </c>
      <c r="E351" s="405">
        <v>50.125703221854934</v>
      </c>
      <c r="F351" s="405">
        <v>50.155794843310886</v>
      </c>
      <c r="G351" s="611"/>
      <c r="H351" s="611"/>
      <c r="I351" s="611"/>
      <c r="J351" s="611"/>
    </row>
    <row r="352" spans="1:10" ht="14.5">
      <c r="A352" s="472"/>
      <c r="B352" s="455" t="s">
        <v>107</v>
      </c>
      <c r="C352" s="405">
        <v>50.02082752757665</v>
      </c>
      <c r="D352" s="405">
        <v>50.168495947977462</v>
      </c>
      <c r="E352" s="405">
        <v>50.119052574402133</v>
      </c>
      <c r="F352" s="405">
        <v>50.15230281985442</v>
      </c>
      <c r="G352" s="611"/>
      <c r="H352" s="611"/>
      <c r="I352" s="611"/>
      <c r="J352" s="611"/>
    </row>
    <row r="353" spans="1:10" ht="14.5">
      <c r="A353" s="472"/>
      <c r="B353" s="455" t="s">
        <v>108</v>
      </c>
      <c r="C353" s="405">
        <v>50.051162137444727</v>
      </c>
      <c r="D353" s="405">
        <v>50.20878663415936</v>
      </c>
      <c r="E353" s="405">
        <v>50.181759100012457</v>
      </c>
      <c r="F353" s="405">
        <v>50.241567587857865</v>
      </c>
      <c r="G353" s="611"/>
      <c r="H353" s="611"/>
      <c r="I353" s="611"/>
      <c r="J353" s="611"/>
    </row>
    <row r="354" spans="1:10" ht="14.5">
      <c r="A354" s="472"/>
      <c r="B354" s="455" t="s">
        <v>109</v>
      </c>
      <c r="C354" s="405">
        <v>50.037061871961541</v>
      </c>
      <c r="D354" s="405">
        <v>50.141322843134944</v>
      </c>
      <c r="E354" s="405">
        <v>50.338295619174097</v>
      </c>
      <c r="F354" s="405">
        <v>50.164679347203638</v>
      </c>
      <c r="G354" s="611"/>
      <c r="H354" s="611"/>
      <c r="I354" s="611"/>
      <c r="J354" s="611"/>
    </row>
    <row r="355" spans="1:10" ht="14.5">
      <c r="A355" s="472"/>
      <c r="B355" s="455" t="s">
        <v>110</v>
      </c>
      <c r="C355" s="405">
        <v>49.994937960873962</v>
      </c>
      <c r="D355" s="405">
        <v>50.250200847445505</v>
      </c>
      <c r="E355" s="405">
        <v>50.130105274150743</v>
      </c>
      <c r="F355" s="405">
        <v>50.236614935783869</v>
      </c>
      <c r="G355" s="611"/>
      <c r="H355" s="611"/>
      <c r="I355" s="611"/>
      <c r="J355" s="611"/>
    </row>
    <row r="356" spans="1:10" ht="14.5">
      <c r="A356" s="472"/>
      <c r="B356" s="455" t="s">
        <v>117</v>
      </c>
      <c r="C356" s="405">
        <v>50.033641766253993</v>
      </c>
      <c r="D356" s="405">
        <v>50.203181630278678</v>
      </c>
      <c r="E356" s="405">
        <v>50.260522055025866</v>
      </c>
      <c r="F356" s="405">
        <v>50.386106611322163</v>
      </c>
      <c r="G356" s="611"/>
      <c r="H356" s="611"/>
      <c r="I356" s="611"/>
      <c r="J356" s="611"/>
    </row>
    <row r="357" spans="1:10" ht="14.5">
      <c r="A357" s="472"/>
      <c r="B357" s="455" t="s">
        <v>112</v>
      </c>
      <c r="C357" s="405">
        <v>50.102636513734481</v>
      </c>
      <c r="D357" s="405">
        <v>50.247073371368515</v>
      </c>
      <c r="E357" s="405">
        <v>50.139656115171199</v>
      </c>
      <c r="F357" s="405">
        <v>50.226750255834858</v>
      </c>
      <c r="G357" s="611"/>
      <c r="H357" s="611"/>
      <c r="I357" s="611"/>
      <c r="J357" s="611"/>
    </row>
    <row r="358" spans="1:10" ht="14.5">
      <c r="A358" s="472"/>
      <c r="B358" s="455" t="s">
        <v>113</v>
      </c>
      <c r="C358" s="405">
        <v>50.062425094870846</v>
      </c>
      <c r="D358" s="405">
        <v>50.260535952115994</v>
      </c>
      <c r="E358" s="405">
        <v>50.159134165446439</v>
      </c>
      <c r="F358" s="405">
        <v>50.149736734028622</v>
      </c>
      <c r="G358" s="611"/>
      <c r="H358" s="611"/>
      <c r="I358" s="611"/>
      <c r="J358" s="611"/>
    </row>
    <row r="359" spans="1:10" ht="14.5">
      <c r="A359" s="472"/>
      <c r="B359" s="455" t="s">
        <v>114</v>
      </c>
      <c r="C359" s="405">
        <v>50.041672306655101</v>
      </c>
      <c r="D359" s="405">
        <v>50.199206382873662</v>
      </c>
      <c r="E359" s="405">
        <v>50.258133381663214</v>
      </c>
      <c r="F359" s="405">
        <v>50.246976777056936</v>
      </c>
      <c r="G359" s="611"/>
      <c r="H359" s="611"/>
      <c r="I359" s="611"/>
      <c r="J359" s="611"/>
    </row>
    <row r="360" spans="1:10" ht="14.5">
      <c r="A360" s="472"/>
      <c r="B360" s="455" t="s">
        <v>115</v>
      </c>
      <c r="C360" s="405">
        <v>50.063622929146703</v>
      </c>
      <c r="D360" s="405">
        <v>50.159742571621805</v>
      </c>
      <c r="E360" s="405">
        <v>50.152906104600127</v>
      </c>
      <c r="F360" s="405">
        <v>50.119376696521989</v>
      </c>
      <c r="G360" s="611"/>
      <c r="H360" s="611"/>
      <c r="I360" s="611"/>
      <c r="J360" s="611"/>
    </row>
    <row r="361" spans="1:10" ht="14.5">
      <c r="A361" s="473"/>
      <c r="B361" s="456" t="s">
        <v>116</v>
      </c>
      <c r="C361" s="407">
        <v>50.020997938126087</v>
      </c>
      <c r="D361" s="407">
        <v>50.158205523856417</v>
      </c>
      <c r="E361" s="407">
        <v>50.254189691760594</v>
      </c>
      <c r="F361" s="407">
        <v>50.203686765823264</v>
      </c>
      <c r="G361" s="611"/>
      <c r="H361" s="611"/>
      <c r="I361" s="611"/>
      <c r="J361" s="611"/>
    </row>
    <row r="362" spans="1:10" ht="14.5">
      <c r="A362" s="471">
        <v>2023</v>
      </c>
      <c r="B362" s="454" t="s">
        <v>105</v>
      </c>
      <c r="C362" s="403">
        <v>50.070365491294773</v>
      </c>
      <c r="D362" s="403">
        <v>50.140248947699909</v>
      </c>
      <c r="E362" s="403">
        <v>50.177604380919313</v>
      </c>
      <c r="F362" s="403">
        <v>50.287401492814396</v>
      </c>
      <c r="G362" s="611"/>
      <c r="H362" s="611"/>
      <c r="I362" s="611"/>
      <c r="J362" s="611"/>
    </row>
    <row r="363" spans="1:10" ht="14.5">
      <c r="A363" s="472"/>
      <c r="B363" s="455" t="s">
        <v>106</v>
      </c>
      <c r="C363" s="405">
        <v>50.067626372082856</v>
      </c>
      <c r="D363" s="405">
        <v>50.172189799195756</v>
      </c>
      <c r="E363" s="405">
        <v>50.15511186289703</v>
      </c>
      <c r="F363" s="405">
        <v>50.172169786599696</v>
      </c>
      <c r="G363" s="611"/>
      <c r="H363" s="611"/>
      <c r="I363" s="611"/>
      <c r="J363" s="611"/>
    </row>
    <row r="364" spans="1:10" ht="14.5">
      <c r="A364" s="472"/>
      <c r="B364" s="455" t="s">
        <v>107</v>
      </c>
      <c r="C364" s="405">
        <v>50.053739646111893</v>
      </c>
      <c r="D364" s="405">
        <v>50.124643607445279</v>
      </c>
      <c r="E364" s="405">
        <v>50.305362982274154</v>
      </c>
      <c r="F364" s="405">
        <v>50.173168406423954</v>
      </c>
      <c r="G364" s="611"/>
      <c r="H364" s="611"/>
      <c r="I364" s="611"/>
      <c r="J364" s="611"/>
    </row>
    <row r="365" spans="1:10" ht="14.5">
      <c r="A365" s="472"/>
      <c r="B365" s="455" t="s">
        <v>108</v>
      </c>
      <c r="C365" s="405">
        <v>50.020935515891679</v>
      </c>
      <c r="D365" s="405">
        <v>50.074673877928504</v>
      </c>
      <c r="E365" s="405">
        <v>50.183592828548619</v>
      </c>
      <c r="F365" s="405">
        <v>50.274274640154552</v>
      </c>
      <c r="G365" s="611"/>
      <c r="H365" s="611"/>
      <c r="I365" s="611"/>
      <c r="J365" s="611"/>
    </row>
    <row r="366" spans="1:10" ht="14.5">
      <c r="A366" s="472"/>
      <c r="B366" s="455" t="s">
        <v>109</v>
      </c>
      <c r="C366" s="405">
        <v>50.012608567788263</v>
      </c>
      <c r="D366" s="405">
        <v>50.102892693792043</v>
      </c>
      <c r="E366" s="405">
        <v>50.203299933566996</v>
      </c>
      <c r="F366" s="405">
        <v>50.21511250671854</v>
      </c>
      <c r="G366" s="611"/>
      <c r="H366" s="611"/>
      <c r="I366" s="611"/>
      <c r="J366" s="611"/>
    </row>
    <row r="367" spans="1:10" ht="14.5">
      <c r="A367" s="472"/>
      <c r="B367" s="455" t="s">
        <v>110</v>
      </c>
      <c r="C367" s="405">
        <v>50.033716506757692</v>
      </c>
      <c r="D367" s="405">
        <v>50.099963697450811</v>
      </c>
      <c r="E367" s="405">
        <v>50.155579821038337</v>
      </c>
      <c r="F367" s="405">
        <v>50.27527288232708</v>
      </c>
      <c r="G367" s="611"/>
      <c r="H367" s="611"/>
      <c r="I367" s="611"/>
      <c r="J367" s="611"/>
    </row>
    <row r="368" spans="1:10" ht="14.5">
      <c r="A368" s="472"/>
      <c r="B368" s="455" t="s">
        <v>117</v>
      </c>
      <c r="C368" s="405">
        <v>50.008253337723154</v>
      </c>
      <c r="D368" s="405">
        <v>50.059799126499385</v>
      </c>
      <c r="E368" s="405">
        <v>50.171457723742307</v>
      </c>
      <c r="F368" s="405">
        <v>50.275556506763998</v>
      </c>
      <c r="G368" s="611"/>
      <c r="H368" s="611"/>
      <c r="I368" s="611"/>
      <c r="J368" s="611"/>
    </row>
    <row r="369" spans="1:10" ht="14.5">
      <c r="A369" s="472"/>
      <c r="B369" s="455" t="s">
        <v>112</v>
      </c>
      <c r="C369" s="405">
        <v>50.005521267997295</v>
      </c>
      <c r="D369" s="405">
        <v>50.026560814929994</v>
      </c>
      <c r="E369" s="405">
        <v>50.176048538216506</v>
      </c>
      <c r="F369" s="405">
        <v>50.212445507467429</v>
      </c>
      <c r="G369" s="611"/>
      <c r="H369" s="611"/>
      <c r="I369" s="611"/>
      <c r="J369" s="611"/>
    </row>
    <row r="370" spans="1:10" ht="14.5">
      <c r="A370" s="472"/>
      <c r="B370" s="455" t="s">
        <v>113</v>
      </c>
      <c r="C370" s="405">
        <v>49.978103447299844</v>
      </c>
      <c r="D370" s="405">
        <v>50.058811917655007</v>
      </c>
      <c r="E370" s="405">
        <v>50.139322158499532</v>
      </c>
      <c r="F370" s="405">
        <v>50.334668523229681</v>
      </c>
      <c r="G370" s="611"/>
      <c r="H370" s="611"/>
      <c r="I370" s="611"/>
      <c r="J370" s="611"/>
    </row>
    <row r="371" spans="1:10" ht="14.5">
      <c r="A371" s="472"/>
      <c r="B371" s="455" t="s">
        <v>114</v>
      </c>
      <c r="C371" s="405">
        <v>49.983037313614517</v>
      </c>
      <c r="D371" s="405">
        <v>50.032634199223594</v>
      </c>
      <c r="E371" s="405">
        <v>50.214227536764639</v>
      </c>
      <c r="F371" s="405">
        <v>50.132894193469191</v>
      </c>
      <c r="G371" s="611"/>
      <c r="H371" s="611"/>
      <c r="I371" s="611"/>
      <c r="J371" s="611"/>
    </row>
    <row r="372" spans="1:10" ht="14.5">
      <c r="A372" s="472"/>
      <c r="B372" s="455" t="s">
        <v>115</v>
      </c>
      <c r="C372" s="405">
        <v>50.03174324880294</v>
      </c>
      <c r="D372" s="405">
        <v>50.124638806371657</v>
      </c>
      <c r="E372" s="405">
        <v>50.220889274563234</v>
      </c>
      <c r="F372" s="405">
        <v>50.17844084587594</v>
      </c>
      <c r="G372" s="611"/>
      <c r="H372" s="611"/>
      <c r="I372" s="611"/>
      <c r="J372" s="611"/>
    </row>
    <row r="373" spans="1:10" ht="14.5">
      <c r="A373" s="473"/>
      <c r="B373" s="456" t="s">
        <v>116</v>
      </c>
      <c r="C373" s="407">
        <v>49.947207746612044</v>
      </c>
      <c r="D373" s="407">
        <v>50.115494499005834</v>
      </c>
      <c r="E373" s="407">
        <v>50.191221069186092</v>
      </c>
      <c r="F373" s="407">
        <v>50.115074087695234</v>
      </c>
      <c r="G373" s="611"/>
      <c r="H373" s="611"/>
      <c r="I373" s="611"/>
      <c r="J373" s="611"/>
    </row>
    <row r="374" spans="1:10" ht="14.5">
      <c r="A374" s="471">
        <v>2024</v>
      </c>
      <c r="B374" s="454" t="s">
        <v>105</v>
      </c>
      <c r="C374" s="403">
        <v>49.951121053179726</v>
      </c>
      <c r="D374" s="403">
        <v>50.055007278238044</v>
      </c>
      <c r="E374" s="403">
        <v>50.137405032233048</v>
      </c>
      <c r="F374" s="403">
        <v>50.30750786049699</v>
      </c>
      <c r="G374" s="611"/>
      <c r="H374" s="611"/>
      <c r="I374" s="611"/>
      <c r="J374" s="611"/>
    </row>
    <row r="375" spans="1:10" ht="14.5">
      <c r="A375" s="472"/>
      <c r="B375" s="455" t="s">
        <v>106</v>
      </c>
      <c r="C375" s="405">
        <v>50.056320899293738</v>
      </c>
      <c r="D375" s="405">
        <v>50.069751653311137</v>
      </c>
      <c r="E375" s="405">
        <v>50.117514765246796</v>
      </c>
      <c r="F375" s="405">
        <v>50.167949276487477</v>
      </c>
      <c r="G375" s="611"/>
      <c r="H375" s="611"/>
      <c r="I375" s="611"/>
      <c r="J375" s="611"/>
    </row>
    <row r="376" spans="1:10" ht="14.5">
      <c r="A376" s="472"/>
      <c r="B376" s="455" t="s">
        <v>107</v>
      </c>
      <c r="C376" s="405">
        <v>50.009238835875657</v>
      </c>
      <c r="D376" s="405">
        <v>50.192472393431409</v>
      </c>
      <c r="E376" s="405">
        <v>50.050313612792657</v>
      </c>
      <c r="F376" s="405">
        <v>50.310006376240388</v>
      </c>
      <c r="G376" s="611"/>
      <c r="H376" s="611"/>
      <c r="I376" s="611"/>
      <c r="J376" s="611"/>
    </row>
    <row r="377" spans="1:10" ht="14.5">
      <c r="A377" s="472"/>
      <c r="B377" s="455" t="s">
        <v>108</v>
      </c>
      <c r="C377" s="632">
        <v>50.000102984895037</v>
      </c>
      <c r="D377" s="632">
        <v>50.01522799634246</v>
      </c>
      <c r="E377" s="632">
        <v>50.00879794434708</v>
      </c>
      <c r="F377" s="632">
        <v>50.121543750139416</v>
      </c>
      <c r="G377" s="611"/>
      <c r="H377" s="611"/>
      <c r="I377" s="611"/>
      <c r="J377" s="611"/>
    </row>
    <row r="378" spans="1:10" ht="14.5">
      <c r="A378" s="472"/>
      <c r="B378" s="455" t="s">
        <v>109</v>
      </c>
      <c r="C378" s="405">
        <v>50.000000000000007</v>
      </c>
      <c r="D378" s="405">
        <v>50.007456317117224</v>
      </c>
      <c r="E378" s="405">
        <v>50.033291033689025</v>
      </c>
      <c r="F378" s="405">
        <v>50.198630372811529</v>
      </c>
      <c r="G378" s="611"/>
      <c r="H378" s="611"/>
      <c r="I378" s="611"/>
      <c r="J378" s="611"/>
    </row>
    <row r="379" spans="1:10" ht="14.5">
      <c r="A379" s="472"/>
      <c r="B379" s="455" t="s">
        <v>110</v>
      </c>
      <c r="C379" s="405">
        <v>50.004110983001318</v>
      </c>
      <c r="D379" s="405">
        <v>50.025898954937851</v>
      </c>
      <c r="E379" s="405">
        <v>50.023324589346458</v>
      </c>
      <c r="F379" s="405">
        <v>50.22671801690533</v>
      </c>
      <c r="G379" s="611"/>
      <c r="H379" s="611"/>
      <c r="I379" s="611"/>
      <c r="J379" s="611"/>
    </row>
    <row r="380" spans="1:10" ht="14.5">
      <c r="A380" s="472"/>
      <c r="B380" s="455" t="s">
        <v>117</v>
      </c>
      <c r="C380" s="405">
        <v>50</v>
      </c>
      <c r="D380" s="405">
        <v>50</v>
      </c>
      <c r="E380" s="405">
        <v>50</v>
      </c>
      <c r="F380" s="405">
        <v>50.3</v>
      </c>
      <c r="G380" s="611"/>
      <c r="H380" s="611"/>
      <c r="I380" s="611"/>
      <c r="J380" s="611"/>
    </row>
    <row r="381" spans="1:10" ht="14.5">
      <c r="A381" s="472"/>
      <c r="B381" s="455" t="s">
        <v>112</v>
      </c>
      <c r="C381" s="405">
        <v>50.004638369341009</v>
      </c>
      <c r="D381" s="405">
        <v>50.016772909643301</v>
      </c>
      <c r="E381" s="405">
        <v>50.008751721980417</v>
      </c>
      <c r="F381" s="405">
        <v>50.289334314812209</v>
      </c>
      <c r="G381" s="611"/>
      <c r="H381" s="611"/>
      <c r="I381" s="611"/>
      <c r="J381" s="611"/>
    </row>
    <row r="382" spans="1:10" ht="14.5">
      <c r="A382" s="472"/>
      <c r="B382" s="455" t="s">
        <v>113</v>
      </c>
      <c r="C382" s="405">
        <v>50.001318577804156</v>
      </c>
      <c r="D382" s="405">
        <v>50.02098458730628</v>
      </c>
      <c r="E382" s="405">
        <v>50.016693815799812</v>
      </c>
      <c r="F382" s="405">
        <v>50.221356580960645</v>
      </c>
      <c r="G382" s="611"/>
      <c r="H382" s="611"/>
      <c r="I382" s="611"/>
      <c r="J382" s="611"/>
    </row>
    <row r="383" spans="1:10" ht="14.5">
      <c r="A383" s="472"/>
      <c r="B383" s="455" t="s">
        <v>114</v>
      </c>
      <c r="C383" s="405">
        <v>50.002253425249201</v>
      </c>
      <c r="D383" s="405">
        <v>49.985310866548268</v>
      </c>
      <c r="E383" s="405">
        <v>50.006262104014631</v>
      </c>
      <c r="F383" s="405">
        <v>50.246610071171816</v>
      </c>
      <c r="G383" s="611"/>
      <c r="H383" s="611"/>
      <c r="I383" s="611"/>
      <c r="J383" s="611"/>
    </row>
    <row r="384" spans="1:10" ht="14.5">
      <c r="A384" s="472"/>
      <c r="B384" s="455" t="s">
        <v>115</v>
      </c>
      <c r="C384" s="405">
        <v>50.004708944165145</v>
      </c>
      <c r="D384" s="405">
        <v>50.011585413575474</v>
      </c>
      <c r="E384" s="405">
        <v>50.011038558763374</v>
      </c>
      <c r="F384" s="405">
        <v>50.22889784842814</v>
      </c>
      <c r="G384" s="611"/>
      <c r="H384" s="611"/>
      <c r="I384" s="611"/>
      <c r="J384" s="611"/>
    </row>
    <row r="385" spans="1:10" ht="14.5">
      <c r="A385" s="473"/>
      <c r="B385" s="456" t="s">
        <v>116</v>
      </c>
      <c r="C385" s="407">
        <v>50</v>
      </c>
      <c r="D385" s="407">
        <v>50</v>
      </c>
      <c r="E385" s="407">
        <v>50</v>
      </c>
      <c r="F385" s="407">
        <v>50.2</v>
      </c>
      <c r="G385" s="611"/>
      <c r="H385" s="611"/>
      <c r="I385" s="611"/>
      <c r="J385" s="611"/>
    </row>
    <row r="386" spans="1:10" ht="14.5">
      <c r="A386" s="471">
        <v>2025</v>
      </c>
      <c r="B386" s="454" t="s">
        <v>105</v>
      </c>
      <c r="C386" s="403">
        <v>49.993025479374403</v>
      </c>
      <c r="D386" s="403">
        <v>50.009058597626016</v>
      </c>
      <c r="E386" s="403">
        <v>50.004920277774396</v>
      </c>
      <c r="F386" s="403">
        <v>50.187664350763391</v>
      </c>
      <c r="G386" s="611"/>
      <c r="H386" s="611"/>
      <c r="I386" s="611"/>
      <c r="J386" s="611"/>
    </row>
    <row r="387" spans="1:10" ht="14.5">
      <c r="A387" s="472"/>
      <c r="B387" s="455" t="s">
        <v>106</v>
      </c>
      <c r="C387" s="405">
        <v>50.000000000000007</v>
      </c>
      <c r="D387" s="405">
        <v>50.006470807962081</v>
      </c>
      <c r="E387" s="405">
        <v>50.004935447160427</v>
      </c>
      <c r="F387" s="405">
        <v>50.570434339806049</v>
      </c>
      <c r="G387" s="611"/>
      <c r="H387" s="611"/>
      <c r="I387" s="611"/>
      <c r="J387" s="611"/>
    </row>
    <row r="388" spans="1:10" ht="14.5">
      <c r="A388" s="472"/>
      <c r="B388" s="455" t="s">
        <v>107</v>
      </c>
      <c r="C388" s="405">
        <v>50.018261797836665</v>
      </c>
      <c r="D388" s="405">
        <v>50.061670676932422</v>
      </c>
      <c r="E388" s="405">
        <v>50.020883980874132</v>
      </c>
      <c r="F388" s="405">
        <v>50.265376562927635</v>
      </c>
      <c r="G388" s="611"/>
      <c r="H388" s="611"/>
      <c r="I388" s="611"/>
      <c r="J388" s="611"/>
    </row>
    <row r="389" spans="1:10" ht="14.5">
      <c r="A389" s="472"/>
      <c r="B389" s="455" t="s">
        <v>108</v>
      </c>
      <c r="C389" s="405">
        <v>49.997968690752302</v>
      </c>
      <c r="D389" s="405">
        <v>50.045954171355085</v>
      </c>
      <c r="E389" s="405">
        <v>49.979239345774481</v>
      </c>
      <c r="F389" s="405">
        <v>50.224784179984994</v>
      </c>
      <c r="G389" s="611"/>
      <c r="H389" s="611"/>
      <c r="I389" s="611"/>
      <c r="J389" s="611"/>
    </row>
    <row r="390" spans="1:10" ht="14.5">
      <c r="A390" s="472"/>
      <c r="B390" s="455" t="s">
        <v>109</v>
      </c>
      <c r="C390" s="405">
        <v>49.944865349661214</v>
      </c>
      <c r="D390" s="405">
        <v>50.019546807977598</v>
      </c>
      <c r="E390" s="405">
        <v>50.000418837091225</v>
      </c>
      <c r="F390" s="405">
        <v>49.747155362187229</v>
      </c>
      <c r="G390" s="611"/>
      <c r="H390" s="611"/>
      <c r="I390" s="611"/>
      <c r="J390" s="611"/>
    </row>
    <row r="391" spans="1:10" ht="14.5">
      <c r="A391" s="472"/>
      <c r="B391" s="455" t="s">
        <v>110</v>
      </c>
      <c r="C391" s="710">
        <v>50</v>
      </c>
      <c r="D391" s="710">
        <v>50</v>
      </c>
      <c r="E391" s="710">
        <v>50</v>
      </c>
      <c r="F391" s="710">
        <v>50.2</v>
      </c>
      <c r="G391" s="611"/>
      <c r="H391" s="611"/>
      <c r="I391" s="611"/>
      <c r="J391" s="611"/>
    </row>
    <row r="392" spans="1:10" ht="14.5">
      <c r="A392" s="472"/>
      <c r="B392" s="455" t="s">
        <v>117</v>
      </c>
      <c r="C392" s="710">
        <v>50.006069053179999</v>
      </c>
      <c r="D392" s="710">
        <v>50.004484525072201</v>
      </c>
      <c r="E392" s="710">
        <v>50.180561956807097</v>
      </c>
      <c r="F392" s="710">
        <v>49.896902644273098</v>
      </c>
      <c r="G392" s="611"/>
      <c r="H392" s="611"/>
      <c r="I392" s="611"/>
      <c r="J392" s="611"/>
    </row>
    <row r="393" spans="1:10" ht="14.5">
      <c r="A393" s="473"/>
      <c r="B393" s="456" t="s">
        <v>112</v>
      </c>
      <c r="C393" s="711">
        <v>50.060627510759602</v>
      </c>
      <c r="D393" s="711">
        <v>50.027858414482701</v>
      </c>
      <c r="E393" s="711">
        <v>50.046665270877497</v>
      </c>
      <c r="F393" s="711">
        <v>49.877137390876896</v>
      </c>
      <c r="G393" s="611"/>
      <c r="H393" s="611"/>
      <c r="I393" s="611"/>
      <c r="J393" s="611"/>
    </row>
    <row r="394" spans="1:10">
      <c r="G394" s="611"/>
      <c r="H394" s="611"/>
      <c r="I394" s="611"/>
      <c r="J394" s="611"/>
    </row>
    <row r="395" spans="1:10" ht="14.5">
      <c r="A395" s="869" t="s">
        <v>371</v>
      </c>
      <c r="B395" s="869"/>
      <c r="C395" s="869"/>
      <c r="D395" s="869"/>
      <c r="E395" s="869"/>
      <c r="F395" s="869"/>
      <c r="G395" s="611"/>
      <c r="H395" s="611"/>
      <c r="I395" s="611"/>
      <c r="J395" s="611"/>
    </row>
    <row r="396" spans="1:10" ht="14.5">
      <c r="A396" s="735" t="s">
        <v>98</v>
      </c>
      <c r="B396" s="739"/>
      <c r="C396" s="864" t="s">
        <v>361</v>
      </c>
      <c r="D396" s="865"/>
      <c r="E396" s="865"/>
      <c r="F396" s="866"/>
      <c r="G396" s="611"/>
      <c r="H396" s="611"/>
      <c r="I396" s="611"/>
      <c r="J396" s="611"/>
    </row>
    <row r="397" spans="1:10" ht="45" customHeight="1">
      <c r="A397" s="740"/>
      <c r="B397" s="741"/>
      <c r="C397" s="557" t="s">
        <v>362</v>
      </c>
      <c r="D397" s="557" t="s">
        <v>363</v>
      </c>
      <c r="E397" s="557" t="s">
        <v>364</v>
      </c>
      <c r="F397" s="556" t="s">
        <v>365</v>
      </c>
      <c r="G397" s="611"/>
      <c r="H397" s="611"/>
      <c r="I397" s="611"/>
      <c r="J397" s="611"/>
    </row>
    <row r="398" spans="1:10" ht="14.5">
      <c r="A398" s="471">
        <v>2020</v>
      </c>
      <c r="B398" s="453" t="s">
        <v>112</v>
      </c>
      <c r="C398" s="403">
        <v>49.989019981918545</v>
      </c>
      <c r="D398" s="403">
        <v>50.126552732992273</v>
      </c>
      <c r="E398" s="403">
        <v>50.356430558674958</v>
      </c>
      <c r="F398" s="402">
        <v>50.2280160812887</v>
      </c>
      <c r="G398" s="611"/>
      <c r="H398" s="611"/>
      <c r="I398" s="611"/>
      <c r="J398" s="611"/>
    </row>
    <row r="399" spans="1:10" ht="14.5">
      <c r="A399" s="472"/>
      <c r="B399" s="455" t="s">
        <v>113</v>
      </c>
      <c r="C399" s="405">
        <v>50.077225484539852</v>
      </c>
      <c r="D399" s="405">
        <v>50.163418384212889</v>
      </c>
      <c r="E399" s="405">
        <v>50.266153603349956</v>
      </c>
      <c r="F399" s="404">
        <v>50.270463094349402</v>
      </c>
      <c r="G399" s="611"/>
      <c r="H399" s="611"/>
      <c r="I399" s="611"/>
      <c r="J399" s="611"/>
    </row>
    <row r="400" spans="1:10" ht="14.5">
      <c r="A400" s="472"/>
      <c r="B400" s="455" t="s">
        <v>114</v>
      </c>
      <c r="C400" s="405">
        <v>49.981326461448738</v>
      </c>
      <c r="D400" s="405">
        <v>50.140808898997186</v>
      </c>
      <c r="E400" s="405">
        <v>50.138226446807664</v>
      </c>
      <c r="F400" s="404">
        <v>50.122375627948387</v>
      </c>
      <c r="G400" s="611"/>
      <c r="H400" s="611"/>
      <c r="I400" s="611"/>
      <c r="J400" s="611"/>
    </row>
    <row r="401" spans="1:10" ht="14.5">
      <c r="A401" s="472"/>
      <c r="B401" s="455" t="s">
        <v>115</v>
      </c>
      <c r="C401" s="405">
        <v>50.055148471708904</v>
      </c>
      <c r="D401" s="405">
        <v>50.180982595312244</v>
      </c>
      <c r="E401" s="405">
        <v>50.19793370872555</v>
      </c>
      <c r="F401" s="404">
        <v>50.169120445214801</v>
      </c>
      <c r="G401" s="611"/>
      <c r="H401" s="611"/>
      <c r="I401" s="611"/>
      <c r="J401" s="611"/>
    </row>
    <row r="402" spans="1:10" ht="14.5">
      <c r="A402" s="472"/>
      <c r="B402" s="456" t="s">
        <v>116</v>
      </c>
      <c r="C402" s="407">
        <v>50.073877035776441</v>
      </c>
      <c r="D402" s="407">
        <v>50.158698901812663</v>
      </c>
      <c r="E402" s="407">
        <v>50.144832584198006</v>
      </c>
      <c r="F402" s="406">
        <v>50.366058175190844</v>
      </c>
      <c r="G402" s="611"/>
      <c r="H402" s="611"/>
      <c r="I402" s="611"/>
      <c r="J402" s="611"/>
    </row>
    <row r="403" spans="1:10" ht="14.5">
      <c r="A403" s="631">
        <v>2021</v>
      </c>
      <c r="B403" s="454" t="s">
        <v>105</v>
      </c>
      <c r="C403" s="403">
        <v>50.080471406688005</v>
      </c>
      <c r="D403" s="403">
        <v>50.138266625272287</v>
      </c>
      <c r="E403" s="403">
        <v>50.354829591085291</v>
      </c>
      <c r="F403" s="402">
        <v>50.215064658327421</v>
      </c>
      <c r="G403" s="611"/>
      <c r="H403" s="611"/>
      <c r="I403" s="611"/>
      <c r="J403" s="611"/>
    </row>
    <row r="404" spans="1:10" ht="14.5">
      <c r="A404" s="480"/>
      <c r="B404" s="455" t="s">
        <v>106</v>
      </c>
      <c r="C404" s="405">
        <v>50.056852394043801</v>
      </c>
      <c r="D404" s="405">
        <v>50.229698743629584</v>
      </c>
      <c r="E404" s="405">
        <v>50.164190684621474</v>
      </c>
      <c r="F404" s="404">
        <v>50.315976113123021</v>
      </c>
      <c r="G404" s="611"/>
      <c r="H404" s="611"/>
      <c r="I404" s="611"/>
      <c r="J404" s="611"/>
    </row>
    <row r="405" spans="1:10" ht="14.5">
      <c r="A405" s="480"/>
      <c r="B405" s="455" t="s">
        <v>107</v>
      </c>
      <c r="C405" s="405">
        <v>50.109262758880078</v>
      </c>
      <c r="D405" s="405">
        <v>50.229156225779839</v>
      </c>
      <c r="E405" s="405">
        <v>50.430209075702351</v>
      </c>
      <c r="F405" s="404">
        <v>50.23694632434583</v>
      </c>
      <c r="G405" s="611"/>
      <c r="H405" s="611"/>
      <c r="I405" s="611"/>
      <c r="J405" s="611"/>
    </row>
    <row r="406" spans="1:10" ht="14.5">
      <c r="A406" s="480"/>
      <c r="B406" s="455" t="s">
        <v>108</v>
      </c>
      <c r="C406" s="405">
        <v>50.120429760125283</v>
      </c>
      <c r="D406" s="405">
        <v>50.212162704370328</v>
      </c>
      <c r="E406" s="405">
        <v>50.348489196952428</v>
      </c>
      <c r="F406" s="404">
        <v>50.175654420391211</v>
      </c>
      <c r="G406" s="611"/>
      <c r="H406" s="611"/>
      <c r="I406" s="611"/>
      <c r="J406" s="611"/>
    </row>
    <row r="407" spans="1:10" ht="14.5">
      <c r="A407" s="480"/>
      <c r="B407" s="455" t="s">
        <v>109</v>
      </c>
      <c r="C407" s="405">
        <v>50.010171520322288</v>
      </c>
      <c r="D407" s="405">
        <v>50.201841440370742</v>
      </c>
      <c r="E407" s="405">
        <v>50.35970188732832</v>
      </c>
      <c r="F407" s="404">
        <v>50.237773170399237</v>
      </c>
      <c r="G407" s="611"/>
      <c r="H407" s="611"/>
      <c r="I407" s="611"/>
      <c r="J407" s="611"/>
    </row>
    <row r="408" spans="1:10" ht="14.5">
      <c r="A408" s="480"/>
      <c r="B408" s="455" t="s">
        <v>110</v>
      </c>
      <c r="C408" s="405">
        <v>50.014027115525899</v>
      </c>
      <c r="D408" s="405">
        <v>50.205624810376911</v>
      </c>
      <c r="E408" s="405">
        <v>50.445233253121117</v>
      </c>
      <c r="F408" s="404">
        <v>50.25638844384936</v>
      </c>
      <c r="G408" s="611"/>
      <c r="H408" s="611"/>
      <c r="I408" s="611"/>
      <c r="J408" s="611"/>
    </row>
    <row r="409" spans="1:10" ht="14.5">
      <c r="A409" s="480"/>
      <c r="B409" s="455" t="s">
        <v>117</v>
      </c>
      <c r="C409" s="405">
        <v>50.081428653403606</v>
      </c>
      <c r="D409" s="405">
        <v>50.260486623154854</v>
      </c>
      <c r="E409" s="405">
        <v>50.546123135465052</v>
      </c>
      <c r="F409" s="404">
        <v>50.194899191806847</v>
      </c>
      <c r="G409" s="611"/>
      <c r="H409" s="611"/>
      <c r="I409" s="611"/>
      <c r="J409" s="611"/>
    </row>
    <row r="410" spans="1:10" ht="14.5">
      <c r="A410" s="480"/>
      <c r="B410" s="455" t="s">
        <v>112</v>
      </c>
      <c r="C410" s="405">
        <v>50.021217223179313</v>
      </c>
      <c r="D410" s="405">
        <v>50.125685941739178</v>
      </c>
      <c r="E410" s="405">
        <v>50.086279562478801</v>
      </c>
      <c r="F410" s="404">
        <v>50.072718103052132</v>
      </c>
      <c r="G410" s="611"/>
      <c r="H410" s="611"/>
      <c r="I410" s="611"/>
      <c r="J410" s="611"/>
    </row>
    <row r="411" spans="1:10" ht="14.5">
      <c r="A411" s="480"/>
      <c r="B411" s="455" t="s">
        <v>113</v>
      </c>
      <c r="C411" s="405">
        <v>49.947182806733238</v>
      </c>
      <c r="D411" s="405">
        <v>50.020658059055862</v>
      </c>
      <c r="E411" s="405">
        <v>50.085951044402329</v>
      </c>
      <c r="F411" s="404">
        <v>50.01533558175619</v>
      </c>
      <c r="G411" s="611"/>
      <c r="H411" s="611"/>
      <c r="I411" s="611"/>
      <c r="J411" s="611"/>
    </row>
    <row r="412" spans="1:10" ht="14.5">
      <c r="A412" s="480"/>
      <c r="B412" s="455" t="s">
        <v>114</v>
      </c>
      <c r="C412" s="405">
        <v>49.983511469624062</v>
      </c>
      <c r="D412" s="405">
        <v>50.078015786846628</v>
      </c>
      <c r="E412" s="405">
        <v>50.095959987090929</v>
      </c>
      <c r="F412" s="404">
        <v>50.120910090441448</v>
      </c>
      <c r="G412" s="611"/>
      <c r="H412" s="611"/>
      <c r="I412" s="611"/>
      <c r="J412" s="611"/>
    </row>
    <row r="413" spans="1:10" ht="14.5">
      <c r="A413" s="480"/>
      <c r="B413" s="455" t="s">
        <v>115</v>
      </c>
      <c r="C413" s="405">
        <v>50.040233658057261</v>
      </c>
      <c r="D413" s="405">
        <v>50.130324870127723</v>
      </c>
      <c r="E413" s="405">
        <v>50.216617277488055</v>
      </c>
      <c r="F413" s="404">
        <v>50.260312433763303</v>
      </c>
      <c r="G413" s="611"/>
      <c r="H413" s="611"/>
      <c r="I413" s="611"/>
      <c r="J413" s="611"/>
    </row>
    <row r="414" spans="1:10" ht="14.5">
      <c r="A414" s="481"/>
      <c r="B414" s="456" t="s">
        <v>116</v>
      </c>
      <c r="C414" s="407">
        <v>50.078314991905934</v>
      </c>
      <c r="D414" s="407">
        <v>50.254829361417528</v>
      </c>
      <c r="E414" s="409">
        <v>50.126107538399594</v>
      </c>
      <c r="F414" s="407">
        <v>50.071745403368688</v>
      </c>
      <c r="G414" s="611"/>
      <c r="H414" s="611"/>
      <c r="I414" s="611"/>
      <c r="J414" s="611"/>
    </row>
    <row r="415" spans="1:10" ht="14.5">
      <c r="A415" s="471">
        <v>2022</v>
      </c>
      <c r="B415" s="454" t="s">
        <v>105</v>
      </c>
      <c r="C415" s="403">
        <v>50.097418600781488</v>
      </c>
      <c r="D415" s="403">
        <v>50.309453034779196</v>
      </c>
      <c r="E415" s="403">
        <v>50.163959996602379</v>
      </c>
      <c r="F415" s="403">
        <v>50.20791274051161</v>
      </c>
      <c r="G415" s="611"/>
      <c r="H415" s="611"/>
      <c r="I415" s="611"/>
      <c r="J415" s="611"/>
    </row>
    <row r="416" spans="1:10" ht="14.5">
      <c r="A416" s="472"/>
      <c r="B416" s="455" t="s">
        <v>106</v>
      </c>
      <c r="C416" s="405">
        <v>50.068753329450765</v>
      </c>
      <c r="D416" s="405">
        <v>50.280311350349706</v>
      </c>
      <c r="E416" s="405">
        <v>50.15009200401667</v>
      </c>
      <c r="F416" s="405">
        <v>50.194783474483835</v>
      </c>
      <c r="G416" s="611"/>
      <c r="H416" s="611"/>
      <c r="I416" s="611"/>
      <c r="J416" s="611"/>
    </row>
    <row r="417" spans="1:10" ht="14.5">
      <c r="A417" s="472"/>
      <c r="B417" s="455" t="s">
        <v>107</v>
      </c>
      <c r="C417" s="405">
        <v>50.030765118305439</v>
      </c>
      <c r="D417" s="405">
        <v>50.21941128435288</v>
      </c>
      <c r="E417" s="405">
        <v>50.239548847903073</v>
      </c>
      <c r="F417" s="405">
        <v>50.268282216122849</v>
      </c>
      <c r="G417" s="611"/>
      <c r="H417" s="611"/>
      <c r="I417" s="611"/>
      <c r="J417" s="611"/>
    </row>
    <row r="418" spans="1:10" ht="14.5">
      <c r="A418" s="472"/>
      <c r="B418" s="455" t="s">
        <v>108</v>
      </c>
      <c r="C418" s="405">
        <v>49.993069325008925</v>
      </c>
      <c r="D418" s="405">
        <v>50.232692386355424</v>
      </c>
      <c r="E418" s="405">
        <v>50.237575619904817</v>
      </c>
      <c r="F418" s="405">
        <v>50.189629241407545</v>
      </c>
      <c r="G418" s="611"/>
      <c r="H418" s="611"/>
      <c r="I418" s="611"/>
      <c r="J418" s="611"/>
    </row>
    <row r="419" spans="1:10" ht="14.5">
      <c r="A419" s="472"/>
      <c r="B419" s="455" t="s">
        <v>109</v>
      </c>
      <c r="C419" s="405">
        <v>50.090016953457173</v>
      </c>
      <c r="D419" s="405">
        <v>50.262411873793667</v>
      </c>
      <c r="E419" s="405">
        <v>50.332636760657145</v>
      </c>
      <c r="F419" s="405">
        <v>50.2319557034415</v>
      </c>
      <c r="G419" s="611"/>
      <c r="H419" s="611"/>
      <c r="I419" s="611"/>
      <c r="J419" s="611"/>
    </row>
    <row r="420" spans="1:10" ht="14.5">
      <c r="A420" s="472"/>
      <c r="B420" s="455" t="s">
        <v>110</v>
      </c>
      <c r="C420" s="405">
        <v>50.041738505264235</v>
      </c>
      <c r="D420" s="405">
        <v>50.28480047511222</v>
      </c>
      <c r="E420" s="405">
        <v>50.276817741506328</v>
      </c>
      <c r="F420" s="405">
        <v>50.241238179547338</v>
      </c>
      <c r="G420" s="611"/>
      <c r="H420" s="611"/>
      <c r="I420" s="611"/>
      <c r="J420" s="611"/>
    </row>
    <row r="421" spans="1:10" ht="14.5">
      <c r="A421" s="472"/>
      <c r="B421" s="455" t="s">
        <v>117</v>
      </c>
      <c r="C421" s="405">
        <v>50.003903602723796</v>
      </c>
      <c r="D421" s="405">
        <v>50.322183509180903</v>
      </c>
      <c r="E421" s="405">
        <v>50.170275028635594</v>
      </c>
      <c r="F421" s="405">
        <v>50.373192889965139</v>
      </c>
      <c r="G421" s="611"/>
      <c r="H421" s="611"/>
      <c r="I421" s="611"/>
      <c r="J421" s="611"/>
    </row>
    <row r="422" spans="1:10" ht="14.5">
      <c r="A422" s="472"/>
      <c r="B422" s="455" t="s">
        <v>112</v>
      </c>
      <c r="C422" s="405">
        <v>50.097694759608743</v>
      </c>
      <c r="D422" s="405">
        <v>50.238626164363168</v>
      </c>
      <c r="E422" s="405">
        <v>50.179110129094013</v>
      </c>
      <c r="F422" s="405">
        <v>50.271424719725459</v>
      </c>
      <c r="G422" s="611"/>
      <c r="H422" s="611"/>
      <c r="I422" s="611"/>
      <c r="J422" s="611"/>
    </row>
    <row r="423" spans="1:10" ht="14.5">
      <c r="A423" s="472"/>
      <c r="B423" s="455" t="s">
        <v>113</v>
      </c>
      <c r="C423" s="405">
        <v>50.043993096677156</v>
      </c>
      <c r="D423" s="405">
        <v>50.196016394645611</v>
      </c>
      <c r="E423" s="405">
        <v>50.182135591422039</v>
      </c>
      <c r="F423" s="405">
        <v>50.092977376046186</v>
      </c>
      <c r="G423" s="611"/>
      <c r="H423" s="611"/>
      <c r="I423" s="611"/>
      <c r="J423" s="611"/>
    </row>
    <row r="424" spans="1:10" ht="14.5">
      <c r="A424" s="472"/>
      <c r="B424" s="455" t="s">
        <v>114</v>
      </c>
      <c r="C424" s="405">
        <v>50.096139644451995</v>
      </c>
      <c r="D424" s="405">
        <v>50.190101640286692</v>
      </c>
      <c r="E424" s="405">
        <v>50.256513894320101</v>
      </c>
      <c r="F424" s="405">
        <v>50.234599439366676</v>
      </c>
      <c r="G424" s="611"/>
      <c r="H424" s="611"/>
      <c r="I424" s="611"/>
      <c r="J424" s="611"/>
    </row>
    <row r="425" spans="1:10" ht="14.5">
      <c r="A425" s="472"/>
      <c r="B425" s="455" t="s">
        <v>115</v>
      </c>
      <c r="C425" s="405">
        <v>50.082268134210643</v>
      </c>
      <c r="D425" s="405">
        <v>50.196252858790395</v>
      </c>
      <c r="E425" s="405">
        <v>50.282487753824626</v>
      </c>
      <c r="F425" s="405">
        <v>50.1078246039826</v>
      </c>
      <c r="G425" s="611"/>
      <c r="H425" s="611"/>
      <c r="I425" s="611"/>
      <c r="J425" s="611"/>
    </row>
    <row r="426" spans="1:10" ht="14.5">
      <c r="A426" s="473"/>
      <c r="B426" s="456" t="s">
        <v>116</v>
      </c>
      <c r="C426" s="407">
        <v>50.048244979346194</v>
      </c>
      <c r="D426" s="407">
        <v>50.202430956275876</v>
      </c>
      <c r="E426" s="407">
        <v>50.318163816819691</v>
      </c>
      <c r="F426" s="407">
        <v>50.281997270899112</v>
      </c>
      <c r="G426" s="611"/>
      <c r="H426" s="611"/>
      <c r="I426" s="611"/>
      <c r="J426" s="611"/>
    </row>
    <row r="427" spans="1:10" ht="14.5">
      <c r="A427" s="471">
        <v>2023</v>
      </c>
      <c r="B427" s="454" t="s">
        <v>105</v>
      </c>
      <c r="C427" s="403">
        <v>50.102985738890496</v>
      </c>
      <c r="D427" s="403">
        <v>50.17534596372618</v>
      </c>
      <c r="E427" s="403">
        <v>50.270090510280554</v>
      </c>
      <c r="F427" s="403">
        <v>50.2369275340169</v>
      </c>
      <c r="G427" s="611"/>
      <c r="H427" s="611"/>
      <c r="I427" s="611"/>
      <c r="J427" s="611"/>
    </row>
    <row r="428" spans="1:10" ht="14.5">
      <c r="A428" s="472"/>
      <c r="B428" s="455" t="s">
        <v>106</v>
      </c>
      <c r="C428" s="405">
        <v>50.021304073747629</v>
      </c>
      <c r="D428" s="405">
        <v>50.198851628671818</v>
      </c>
      <c r="E428" s="405">
        <v>50.217216471693717</v>
      </c>
      <c r="F428" s="405">
        <v>50.337904226906588</v>
      </c>
      <c r="G428" s="611"/>
      <c r="H428" s="611"/>
      <c r="I428" s="611"/>
      <c r="J428" s="611"/>
    </row>
    <row r="429" spans="1:10" ht="14.5">
      <c r="A429" s="472"/>
      <c r="B429" s="455" t="s">
        <v>107</v>
      </c>
      <c r="C429" s="405">
        <v>50.059848475963591</v>
      </c>
      <c r="D429" s="405">
        <v>50.140806167945406</v>
      </c>
      <c r="E429" s="405">
        <v>50.390690873192526</v>
      </c>
      <c r="F429" s="405">
        <v>50.247630343541175</v>
      </c>
      <c r="G429" s="611"/>
      <c r="H429" s="611"/>
      <c r="I429" s="611"/>
      <c r="J429" s="611"/>
    </row>
    <row r="430" spans="1:10" ht="14.5">
      <c r="A430" s="472"/>
      <c r="B430" s="455" t="s">
        <v>108</v>
      </c>
      <c r="C430" s="405">
        <v>50.020605761725648</v>
      </c>
      <c r="D430" s="405">
        <v>50.148730680310415</v>
      </c>
      <c r="E430" s="405">
        <v>50.189084717674561</v>
      </c>
      <c r="F430" s="405">
        <v>50.230718693578595</v>
      </c>
      <c r="G430" s="611"/>
      <c r="H430" s="611"/>
      <c r="I430" s="611"/>
      <c r="J430" s="611"/>
    </row>
    <row r="431" spans="1:10" ht="14.5">
      <c r="A431" s="472"/>
      <c r="B431" s="455" t="s">
        <v>109</v>
      </c>
      <c r="C431" s="405">
        <v>50</v>
      </c>
      <c r="D431" s="405">
        <v>50.127648062415574</v>
      </c>
      <c r="E431" s="405">
        <v>50.19923735168252</v>
      </c>
      <c r="F431" s="405">
        <v>50.237892495165461</v>
      </c>
      <c r="G431" s="611"/>
      <c r="H431" s="611"/>
      <c r="I431" s="611"/>
      <c r="J431" s="611"/>
    </row>
    <row r="432" spans="1:10" ht="14.5">
      <c r="A432" s="472"/>
      <c r="B432" s="455" t="s">
        <v>110</v>
      </c>
      <c r="C432" s="405">
        <v>50.038701559880899</v>
      </c>
      <c r="D432" s="405">
        <v>50.146389382074851</v>
      </c>
      <c r="E432" s="405">
        <v>50.177433934945185</v>
      </c>
      <c r="F432" s="405">
        <v>50.241235282626867</v>
      </c>
      <c r="G432" s="611"/>
      <c r="H432" s="611"/>
      <c r="I432" s="611"/>
      <c r="J432" s="611"/>
    </row>
    <row r="433" spans="1:10" ht="14.5">
      <c r="A433" s="472"/>
      <c r="B433" s="455" t="s">
        <v>117</v>
      </c>
      <c r="C433" s="405">
        <v>50.021038754819102</v>
      </c>
      <c r="D433" s="405">
        <v>50.134107799166877</v>
      </c>
      <c r="E433" s="405">
        <v>50.236333128097286</v>
      </c>
      <c r="F433" s="405">
        <v>50.355849037410813</v>
      </c>
      <c r="G433" s="611"/>
      <c r="H433" s="611"/>
      <c r="I433" s="611"/>
      <c r="J433" s="611"/>
    </row>
    <row r="434" spans="1:10" ht="14.5">
      <c r="A434" s="472"/>
      <c r="B434" s="455" t="s">
        <v>112</v>
      </c>
      <c r="C434" s="405">
        <v>50.014865150383478</v>
      </c>
      <c r="D434" s="405">
        <v>50.11707510698448</v>
      </c>
      <c r="E434" s="405">
        <v>50.185894713244998</v>
      </c>
      <c r="F434" s="405">
        <v>50.218038841175073</v>
      </c>
      <c r="G434" s="611"/>
      <c r="H434" s="611"/>
      <c r="I434" s="611"/>
      <c r="J434" s="611"/>
    </row>
    <row r="435" spans="1:10" ht="14.5">
      <c r="A435" s="472"/>
      <c r="B435" s="455" t="s">
        <v>113</v>
      </c>
      <c r="C435" s="405">
        <v>49.943826296727245</v>
      </c>
      <c r="D435" s="405">
        <v>50.105593470709394</v>
      </c>
      <c r="E435" s="405">
        <v>50.244679563411033</v>
      </c>
      <c r="F435" s="405">
        <v>50.179710973380814</v>
      </c>
      <c r="G435" s="611"/>
      <c r="H435" s="611"/>
      <c r="I435" s="611"/>
      <c r="J435" s="611"/>
    </row>
    <row r="436" spans="1:10" ht="14.5">
      <c r="A436" s="472"/>
      <c r="B436" s="455" t="s">
        <v>114</v>
      </c>
      <c r="C436" s="405">
        <v>49.995046602682812</v>
      </c>
      <c r="D436" s="405">
        <v>50.082082596690611</v>
      </c>
      <c r="E436" s="405">
        <v>50.18194764648225</v>
      </c>
      <c r="F436" s="405">
        <v>50.070985153867419</v>
      </c>
      <c r="G436" s="611"/>
      <c r="H436" s="611"/>
      <c r="I436" s="611"/>
      <c r="J436" s="611"/>
    </row>
    <row r="437" spans="1:10" ht="14.5">
      <c r="A437" s="472"/>
      <c r="B437" s="455" t="s">
        <v>115</v>
      </c>
      <c r="C437" s="405">
        <v>49.966212560316102</v>
      </c>
      <c r="D437" s="405">
        <v>50.147301795483372</v>
      </c>
      <c r="E437" s="405">
        <v>50.228216632177762</v>
      </c>
      <c r="F437" s="405">
        <v>50.219840549769351</v>
      </c>
      <c r="G437" s="611"/>
      <c r="H437" s="611"/>
      <c r="I437" s="611"/>
      <c r="J437" s="611"/>
    </row>
    <row r="438" spans="1:10" ht="14.5">
      <c r="A438" s="473"/>
      <c r="B438" s="456" t="s">
        <v>116</v>
      </c>
      <c r="C438" s="407">
        <v>50.032620630824795</v>
      </c>
      <c r="D438" s="407">
        <v>50.106723719287046</v>
      </c>
      <c r="E438" s="407">
        <v>50.305516423700226</v>
      </c>
      <c r="F438" s="407">
        <v>50.228652837765225</v>
      </c>
      <c r="G438" s="611"/>
      <c r="H438" s="611"/>
      <c r="I438" s="611"/>
      <c r="J438" s="611"/>
    </row>
    <row r="439" spans="1:10" ht="14.5">
      <c r="A439" s="471">
        <v>2024</v>
      </c>
      <c r="B439" s="454" t="s">
        <v>105</v>
      </c>
      <c r="C439" s="403">
        <v>49.986790482194763</v>
      </c>
      <c r="D439" s="403">
        <v>50.179733284977992</v>
      </c>
      <c r="E439" s="403">
        <v>50.173540354277662</v>
      </c>
      <c r="F439" s="403">
        <v>50.166404022899457</v>
      </c>
      <c r="G439" s="611"/>
      <c r="H439" s="611"/>
      <c r="I439" s="611"/>
      <c r="J439" s="611"/>
    </row>
    <row r="440" spans="1:10" ht="14.5">
      <c r="A440" s="472"/>
      <c r="B440" s="455" t="s">
        <v>106</v>
      </c>
      <c r="C440" s="405">
        <v>50.022933791218776</v>
      </c>
      <c r="D440" s="405">
        <v>50.192848263230779</v>
      </c>
      <c r="E440" s="405">
        <v>50.185348553515681</v>
      </c>
      <c r="F440" s="405">
        <v>50.289010659510296</v>
      </c>
      <c r="G440" s="611"/>
      <c r="H440" s="611"/>
      <c r="I440" s="611"/>
      <c r="J440" s="611"/>
    </row>
    <row r="441" spans="1:10" ht="14.5">
      <c r="A441" s="472"/>
      <c r="B441" s="455" t="s">
        <v>107</v>
      </c>
      <c r="C441" s="405">
        <v>50.027593689909104</v>
      </c>
      <c r="D441" s="405">
        <v>50.071967182388761</v>
      </c>
      <c r="E441" s="405">
        <v>50.144365872643661</v>
      </c>
      <c r="F441" s="405">
        <v>50.351179427806358</v>
      </c>
      <c r="G441" s="611"/>
      <c r="H441" s="611"/>
      <c r="I441" s="611"/>
      <c r="J441" s="611"/>
    </row>
    <row r="442" spans="1:10" ht="14.5">
      <c r="A442" s="472"/>
      <c r="B442" s="455" t="s">
        <v>108</v>
      </c>
      <c r="C442" s="632">
        <v>50.003413355580676</v>
      </c>
      <c r="D442" s="632">
        <v>50.046145662087923</v>
      </c>
      <c r="E442" s="632">
        <v>50.034227124379271</v>
      </c>
      <c r="F442" s="632">
        <v>50.224854560791812</v>
      </c>
      <c r="G442" s="611"/>
      <c r="H442" s="611"/>
      <c r="I442" s="611"/>
      <c r="J442" s="611"/>
    </row>
    <row r="443" spans="1:10" ht="14.5">
      <c r="A443" s="472"/>
      <c r="B443" s="455" t="s">
        <v>109</v>
      </c>
      <c r="C443" s="405">
        <v>50.005018242899865</v>
      </c>
      <c r="D443" s="405">
        <v>50.026244667667051</v>
      </c>
      <c r="E443" s="405">
        <v>50.025727202450788</v>
      </c>
      <c r="F443" s="405">
        <v>50.218515559188951</v>
      </c>
      <c r="G443" s="611"/>
      <c r="H443" s="611"/>
      <c r="I443" s="611"/>
      <c r="J443" s="611"/>
    </row>
    <row r="444" spans="1:10" ht="14.5">
      <c r="A444" s="472"/>
      <c r="B444" s="455" t="s">
        <v>110</v>
      </c>
      <c r="C444" s="405">
        <v>50.001233294900402</v>
      </c>
      <c r="D444" s="405">
        <v>50.030639705884894</v>
      </c>
      <c r="E444" s="405">
        <v>50.030980327090134</v>
      </c>
      <c r="F444" s="405">
        <v>50.194990160522792</v>
      </c>
      <c r="G444" s="611"/>
      <c r="H444" s="611"/>
      <c r="I444" s="611"/>
      <c r="J444" s="611"/>
    </row>
    <row r="445" spans="1:10" ht="14.5">
      <c r="A445" s="472"/>
      <c r="B445" s="455" t="s">
        <v>117</v>
      </c>
      <c r="C445" s="405">
        <v>50</v>
      </c>
      <c r="D445" s="405">
        <v>50.1</v>
      </c>
      <c r="E445" s="405">
        <v>50</v>
      </c>
      <c r="F445" s="405">
        <v>50.3</v>
      </c>
      <c r="G445" s="611"/>
      <c r="H445" s="611"/>
      <c r="I445" s="611"/>
      <c r="J445" s="611"/>
    </row>
    <row r="446" spans="1:10" ht="14.5">
      <c r="A446" s="472"/>
      <c r="B446" s="455" t="s">
        <v>112</v>
      </c>
      <c r="C446" s="405">
        <v>49.996711213598957</v>
      </c>
      <c r="D446" s="405">
        <v>50.029288189372274</v>
      </c>
      <c r="E446" s="405">
        <v>50.048323870879891</v>
      </c>
      <c r="F446" s="405">
        <v>50.270921597427588</v>
      </c>
      <c r="G446" s="611"/>
      <c r="H446" s="611"/>
      <c r="I446" s="611"/>
      <c r="J446" s="611"/>
    </row>
    <row r="447" spans="1:10" ht="14.5">
      <c r="A447" s="472"/>
      <c r="B447" s="455" t="s">
        <v>113</v>
      </c>
      <c r="C447" s="405">
        <v>50.016042447509186</v>
      </c>
      <c r="D447" s="405">
        <v>50.042051301426746</v>
      </c>
      <c r="E447" s="405">
        <v>50.028575727859071</v>
      </c>
      <c r="F447" s="405">
        <v>50.200188958389568</v>
      </c>
      <c r="G447" s="611"/>
      <c r="H447" s="611"/>
      <c r="I447" s="611"/>
      <c r="J447" s="611"/>
    </row>
    <row r="448" spans="1:10" ht="14.5">
      <c r="A448" s="472"/>
      <c r="B448" s="455" t="s">
        <v>114</v>
      </c>
      <c r="C448" s="405">
        <v>50.013663058660995</v>
      </c>
      <c r="D448" s="405">
        <v>50.015903986658692</v>
      </c>
      <c r="E448" s="405">
        <v>50.029024348011539</v>
      </c>
      <c r="F448" s="405">
        <v>50.235667644503252</v>
      </c>
      <c r="G448" s="611"/>
      <c r="H448" s="611"/>
      <c r="I448" s="611"/>
      <c r="J448" s="611"/>
    </row>
    <row r="449" spans="1:10" ht="14.5">
      <c r="A449" s="472"/>
      <c r="B449" s="455" t="s">
        <v>115</v>
      </c>
      <c r="C449" s="405">
        <v>50.012760604819668</v>
      </c>
      <c r="D449" s="405">
        <v>50.042191392384012</v>
      </c>
      <c r="E449" s="405">
        <v>50.022687372171404</v>
      </c>
      <c r="F449" s="405">
        <v>50.156802387276883</v>
      </c>
      <c r="G449" s="611"/>
      <c r="H449" s="611"/>
      <c r="I449" s="611"/>
      <c r="J449" s="611"/>
    </row>
    <row r="450" spans="1:10" ht="14.5">
      <c r="A450" s="473"/>
      <c r="B450" s="456" t="s">
        <v>116</v>
      </c>
      <c r="C450" s="407">
        <v>50</v>
      </c>
      <c r="D450" s="407">
        <v>50</v>
      </c>
      <c r="E450" s="407">
        <v>50</v>
      </c>
      <c r="F450" s="407">
        <v>50.3</v>
      </c>
      <c r="G450" s="611"/>
      <c r="H450" s="611"/>
      <c r="I450" s="611"/>
      <c r="J450" s="611"/>
    </row>
    <row r="451" spans="1:10" ht="14.5">
      <c r="A451" s="471">
        <v>2025</v>
      </c>
      <c r="B451" s="454" t="s">
        <v>105</v>
      </c>
      <c r="C451" s="403">
        <v>50.000000000000007</v>
      </c>
      <c r="D451" s="403">
        <v>50.008626240529345</v>
      </c>
      <c r="E451" s="403">
        <v>49.994397202222679</v>
      </c>
      <c r="F451" s="403">
        <v>50.243272588666834</v>
      </c>
      <c r="G451" s="611"/>
      <c r="H451" s="611"/>
      <c r="I451" s="611"/>
      <c r="J451" s="611"/>
    </row>
    <row r="452" spans="1:10" ht="14.5">
      <c r="A452" s="472"/>
      <c r="B452" s="455" t="s">
        <v>106</v>
      </c>
      <c r="C452" s="405">
        <v>50.000000000000007</v>
      </c>
      <c r="D452" s="405">
        <v>50.009055554214576</v>
      </c>
      <c r="E452" s="405">
        <v>50.003694047831637</v>
      </c>
      <c r="F452" s="405">
        <v>50.248474318294406</v>
      </c>
      <c r="G452" s="611"/>
      <c r="H452" s="611"/>
      <c r="I452" s="611"/>
      <c r="J452" s="611"/>
    </row>
    <row r="453" spans="1:10" ht="14.5">
      <c r="A453" s="472"/>
      <c r="B453" s="455" t="s">
        <v>107</v>
      </c>
      <c r="C453" s="405">
        <v>50.000415249124096</v>
      </c>
      <c r="D453" s="405">
        <v>50.043298502218789</v>
      </c>
      <c r="E453" s="405">
        <v>50.027227135509428</v>
      </c>
      <c r="F453" s="405">
        <v>50.328293282260205</v>
      </c>
      <c r="G453" s="611"/>
      <c r="H453" s="611"/>
      <c r="I453" s="611"/>
      <c r="J453" s="611"/>
    </row>
    <row r="454" spans="1:10" ht="14.5">
      <c r="A454" s="472"/>
      <c r="B454" s="455" t="s">
        <v>108</v>
      </c>
      <c r="C454" s="405">
        <v>50.005775078806835</v>
      </c>
      <c r="D454" s="405">
        <v>50.036434672481981</v>
      </c>
      <c r="E454" s="405">
        <v>50.023790687241188</v>
      </c>
      <c r="F454" s="405">
        <v>49.945156167401898</v>
      </c>
      <c r="G454" s="611"/>
      <c r="H454" s="611"/>
      <c r="I454" s="611"/>
      <c r="J454" s="611"/>
    </row>
    <row r="455" spans="1:10" ht="14.5">
      <c r="A455" s="472"/>
      <c r="B455" s="455" t="s">
        <v>109</v>
      </c>
      <c r="C455" s="405">
        <v>49.939434734493993</v>
      </c>
      <c r="D455" s="405">
        <v>50.068159524616028</v>
      </c>
      <c r="E455" s="405">
        <v>50.00897788965294</v>
      </c>
      <c r="F455" s="405">
        <v>50.258807072693102</v>
      </c>
      <c r="G455" s="611"/>
      <c r="H455" s="611"/>
      <c r="I455" s="611"/>
      <c r="J455" s="611"/>
    </row>
    <row r="456" spans="1:10" ht="14.5">
      <c r="A456" s="472"/>
      <c r="B456" s="455" t="s">
        <v>110</v>
      </c>
      <c r="C456" s="710">
        <v>50</v>
      </c>
      <c r="D456" s="710">
        <v>50</v>
      </c>
      <c r="E456" s="710">
        <v>50.2</v>
      </c>
      <c r="F456" s="710">
        <v>50.2</v>
      </c>
      <c r="G456" s="611"/>
      <c r="H456" s="611"/>
      <c r="I456" s="611"/>
      <c r="J456" s="611"/>
    </row>
    <row r="457" spans="1:10" ht="14.5">
      <c r="A457" s="472"/>
      <c r="B457" s="455" t="s">
        <v>117</v>
      </c>
      <c r="C457" s="710">
        <v>50.009517021460702</v>
      </c>
      <c r="D457" s="710">
        <v>50.073655028847298</v>
      </c>
      <c r="E457" s="710">
        <v>50.183460805601399</v>
      </c>
      <c r="F457" s="710">
        <v>50.263842164096701</v>
      </c>
      <c r="G457" s="611"/>
      <c r="H457" s="611"/>
      <c r="I457" s="611"/>
      <c r="J457" s="611"/>
    </row>
    <row r="458" spans="1:10" ht="14.5">
      <c r="A458" s="473"/>
      <c r="B458" s="456" t="s">
        <v>112</v>
      </c>
      <c r="C458" s="711">
        <v>50.036958618565201</v>
      </c>
      <c r="D458" s="711">
        <v>50.036409126916801</v>
      </c>
      <c r="E458" s="711">
        <v>50.032949005014103</v>
      </c>
      <c r="F458" s="711">
        <v>49.860951314782596</v>
      </c>
      <c r="G458" s="611"/>
      <c r="H458" s="611"/>
      <c r="I458" s="611"/>
      <c r="J458" s="611"/>
    </row>
    <row r="459" spans="1:10">
      <c r="G459" s="611"/>
      <c r="H459" s="611"/>
      <c r="I459" s="611"/>
      <c r="J459" s="611"/>
    </row>
    <row r="460" spans="1:10" ht="14.5">
      <c r="A460" s="869" t="s">
        <v>372</v>
      </c>
      <c r="B460" s="869"/>
      <c r="C460" s="869"/>
      <c r="D460" s="869"/>
      <c r="E460" s="869"/>
      <c r="F460" s="869"/>
      <c r="G460" s="611"/>
      <c r="H460" s="611"/>
      <c r="I460" s="611"/>
      <c r="J460" s="611"/>
    </row>
    <row r="461" spans="1:10" ht="14.5">
      <c r="A461" s="735" t="s">
        <v>98</v>
      </c>
      <c r="B461" s="739"/>
      <c r="C461" s="864" t="s">
        <v>361</v>
      </c>
      <c r="D461" s="865"/>
      <c r="E461" s="865"/>
      <c r="F461" s="866"/>
      <c r="G461" s="611"/>
      <c r="H461" s="611"/>
      <c r="I461" s="611"/>
      <c r="J461" s="611"/>
    </row>
    <row r="462" spans="1:10" ht="45" customHeight="1">
      <c r="A462" s="740"/>
      <c r="B462" s="741"/>
      <c r="C462" s="557" t="s">
        <v>362</v>
      </c>
      <c r="D462" s="557" t="s">
        <v>363</v>
      </c>
      <c r="E462" s="557" t="s">
        <v>364</v>
      </c>
      <c r="F462" s="556" t="s">
        <v>365</v>
      </c>
      <c r="G462" s="611"/>
      <c r="H462" s="611"/>
      <c r="I462" s="611"/>
      <c r="J462" s="611"/>
    </row>
    <row r="463" spans="1:10" ht="14.5">
      <c r="A463" s="471">
        <v>2020</v>
      </c>
      <c r="B463" s="453" t="s">
        <v>112</v>
      </c>
      <c r="C463" s="403">
        <v>50.080388113005952</v>
      </c>
      <c r="D463" s="403">
        <v>50.175893650301781</v>
      </c>
      <c r="E463" s="403">
        <v>50.224913641446243</v>
      </c>
      <c r="F463" s="402">
        <v>50.204832630781183</v>
      </c>
      <c r="G463" s="611"/>
      <c r="H463" s="611"/>
      <c r="I463" s="611"/>
      <c r="J463" s="611"/>
    </row>
    <row r="464" spans="1:10" ht="14.5">
      <c r="A464" s="472"/>
      <c r="B464" s="455" t="s">
        <v>113</v>
      </c>
      <c r="C464" s="405">
        <v>50.13484282303849</v>
      </c>
      <c r="D464" s="405">
        <v>50.110269626964644</v>
      </c>
      <c r="E464" s="405">
        <v>50.500340761220031</v>
      </c>
      <c r="F464" s="404">
        <v>50.193364578649863</v>
      </c>
      <c r="G464" s="611"/>
      <c r="H464" s="611"/>
      <c r="I464" s="611"/>
      <c r="J464" s="611"/>
    </row>
    <row r="465" spans="1:10" ht="14.5">
      <c r="A465" s="472"/>
      <c r="B465" s="455" t="s">
        <v>114</v>
      </c>
      <c r="C465" s="405">
        <v>49.952576239003626</v>
      </c>
      <c r="D465" s="405">
        <v>50.11360424325229</v>
      </c>
      <c r="E465" s="405">
        <v>50.206921058573428</v>
      </c>
      <c r="F465" s="404">
        <v>50.140963127515477</v>
      </c>
      <c r="G465" s="611"/>
      <c r="H465" s="611"/>
      <c r="I465" s="611"/>
      <c r="J465" s="611"/>
    </row>
    <row r="466" spans="1:10" ht="14.5">
      <c r="A466" s="472"/>
      <c r="B466" s="455" t="s">
        <v>115</v>
      </c>
      <c r="C466" s="405">
        <v>50.05193738164192</v>
      </c>
      <c r="D466" s="405">
        <v>50.158334683323254</v>
      </c>
      <c r="E466" s="405">
        <v>50.273000608518025</v>
      </c>
      <c r="F466" s="404">
        <v>50.128395431788952</v>
      </c>
      <c r="G466" s="611"/>
      <c r="H466" s="611"/>
      <c r="I466" s="611"/>
      <c r="J466" s="611"/>
    </row>
    <row r="467" spans="1:10" ht="14.5">
      <c r="A467" s="472"/>
      <c r="B467" s="456" t="s">
        <v>116</v>
      </c>
      <c r="C467" s="407">
        <v>50.05822035354683</v>
      </c>
      <c r="D467" s="407">
        <v>50.210696711544138</v>
      </c>
      <c r="E467" s="407">
        <v>50.335261435377973</v>
      </c>
      <c r="F467" s="406">
        <v>50.316604086139762</v>
      </c>
      <c r="G467" s="611"/>
      <c r="H467" s="611"/>
      <c r="I467" s="611"/>
      <c r="J467" s="611"/>
    </row>
    <row r="468" spans="1:10" ht="14.5">
      <c r="A468" s="631">
        <v>2021</v>
      </c>
      <c r="B468" s="454" t="s">
        <v>105</v>
      </c>
      <c r="C468" s="403">
        <v>49.959665012311703</v>
      </c>
      <c r="D468" s="403">
        <v>50.234979157903972</v>
      </c>
      <c r="E468" s="403">
        <v>50.342657850209065</v>
      </c>
      <c r="F468" s="402">
        <v>49.961865424007023</v>
      </c>
      <c r="G468" s="611"/>
      <c r="H468" s="611"/>
      <c r="I468" s="611"/>
      <c r="J468" s="611"/>
    </row>
    <row r="469" spans="1:10" ht="14.5">
      <c r="A469" s="480"/>
      <c r="B469" s="455" t="s">
        <v>106</v>
      </c>
      <c r="C469" s="405">
        <v>50.133580135024431</v>
      </c>
      <c r="D469" s="405">
        <v>50.241831030292722</v>
      </c>
      <c r="E469" s="405">
        <v>50.356872636130568</v>
      </c>
      <c r="F469" s="404">
        <v>50.230728565127094</v>
      </c>
      <c r="G469" s="611"/>
      <c r="H469" s="611"/>
      <c r="I469" s="611"/>
      <c r="J469" s="611"/>
    </row>
    <row r="470" spans="1:10" ht="14.5">
      <c r="A470" s="480"/>
      <c r="B470" s="455" t="s">
        <v>107</v>
      </c>
      <c r="C470" s="405">
        <v>50.115307142675036</v>
      </c>
      <c r="D470" s="405">
        <v>50.248405600551415</v>
      </c>
      <c r="E470" s="405">
        <v>50.449609100269981</v>
      </c>
      <c r="F470" s="404">
        <v>50.241182888728311</v>
      </c>
      <c r="G470" s="611"/>
      <c r="H470" s="611"/>
      <c r="I470" s="611"/>
      <c r="J470" s="611"/>
    </row>
    <row r="471" spans="1:10" ht="14.5">
      <c r="A471" s="480"/>
      <c r="B471" s="455" t="s">
        <v>108</v>
      </c>
      <c r="C471" s="405">
        <v>50.135226449868831</v>
      </c>
      <c r="D471" s="405">
        <v>50.224747854753204</v>
      </c>
      <c r="E471" s="405">
        <v>50.283747195472891</v>
      </c>
      <c r="F471" s="404">
        <v>50.155281419601685</v>
      </c>
      <c r="G471" s="611"/>
      <c r="H471" s="611"/>
      <c r="I471" s="611"/>
      <c r="J471" s="611"/>
    </row>
    <row r="472" spans="1:10" ht="14.5">
      <c r="A472" s="480"/>
      <c r="B472" s="455" t="s">
        <v>109</v>
      </c>
      <c r="C472" s="405">
        <v>50.186639952070429</v>
      </c>
      <c r="D472" s="405">
        <v>50.196986508965011</v>
      </c>
      <c r="E472" s="405">
        <v>50.222939984084491</v>
      </c>
      <c r="F472" s="404">
        <v>50.088325406360568</v>
      </c>
      <c r="G472" s="611"/>
      <c r="H472" s="611"/>
      <c r="I472" s="611"/>
      <c r="J472" s="611"/>
    </row>
    <row r="473" spans="1:10" ht="14.5">
      <c r="A473" s="480"/>
      <c r="B473" s="455" t="s">
        <v>110</v>
      </c>
      <c r="C473" s="405">
        <v>49.981619644233149</v>
      </c>
      <c r="D473" s="405">
        <v>50.139685832901897</v>
      </c>
      <c r="E473" s="405">
        <v>50.178599839276188</v>
      </c>
      <c r="F473" s="404">
        <v>50.109353887754779</v>
      </c>
      <c r="G473" s="611"/>
      <c r="H473" s="611"/>
      <c r="I473" s="611"/>
      <c r="J473" s="611"/>
    </row>
    <row r="474" spans="1:10" ht="14.5">
      <c r="A474" s="480"/>
      <c r="B474" s="455" t="s">
        <v>117</v>
      </c>
      <c r="C474" s="405">
        <v>50.006258602929023</v>
      </c>
      <c r="D474" s="405">
        <v>50.226969244065813</v>
      </c>
      <c r="E474" s="405">
        <v>50.269823816358738</v>
      </c>
      <c r="F474" s="404">
        <v>50.191164836072922</v>
      </c>
      <c r="G474" s="611"/>
      <c r="H474" s="611"/>
      <c r="I474" s="611"/>
      <c r="J474" s="611"/>
    </row>
    <row r="475" spans="1:10" ht="14.5">
      <c r="A475" s="480"/>
      <c r="B475" s="455" t="s">
        <v>112</v>
      </c>
      <c r="C475" s="405">
        <v>50.022962837977126</v>
      </c>
      <c r="D475" s="405">
        <v>50.08825606818526</v>
      </c>
      <c r="E475" s="405">
        <v>50.148690741034173</v>
      </c>
      <c r="F475" s="404">
        <v>50.324630048067121</v>
      </c>
      <c r="G475" s="611"/>
      <c r="H475" s="611"/>
      <c r="I475" s="611"/>
      <c r="J475" s="611"/>
    </row>
    <row r="476" spans="1:10" ht="14.5">
      <c r="A476" s="480"/>
      <c r="B476" s="455" t="s">
        <v>113</v>
      </c>
      <c r="C476" s="405">
        <v>50.027657967178094</v>
      </c>
      <c r="D476" s="405">
        <v>50.005504671240033</v>
      </c>
      <c r="E476" s="405">
        <v>50.129614286173599</v>
      </c>
      <c r="F476" s="404">
        <v>50.310323708982104</v>
      </c>
      <c r="G476" s="611"/>
      <c r="H476" s="611"/>
      <c r="I476" s="611"/>
      <c r="J476" s="611"/>
    </row>
    <row r="477" spans="1:10" ht="14.5">
      <c r="A477" s="480"/>
      <c r="B477" s="455" t="s">
        <v>114</v>
      </c>
      <c r="C477" s="405">
        <v>50.008219016147386</v>
      </c>
      <c r="D477" s="405">
        <v>50.069292107448128</v>
      </c>
      <c r="E477" s="405">
        <v>50.143544948672165</v>
      </c>
      <c r="F477" s="404">
        <v>50.241918597460256</v>
      </c>
      <c r="G477" s="611"/>
      <c r="H477" s="611"/>
      <c r="I477" s="611"/>
      <c r="J477" s="611"/>
    </row>
    <row r="478" spans="1:10" ht="14.5">
      <c r="A478" s="472"/>
      <c r="B478" s="455" t="s">
        <v>115</v>
      </c>
      <c r="C478" s="405">
        <v>50.081337685069101</v>
      </c>
      <c r="D478" s="633">
        <v>50.108184788500708</v>
      </c>
      <c r="E478" s="405">
        <v>50.430110937116844</v>
      </c>
      <c r="F478" s="404">
        <v>50.300074823009112</v>
      </c>
      <c r="G478" s="611"/>
      <c r="H478" s="611"/>
      <c r="I478" s="611"/>
      <c r="J478" s="611"/>
    </row>
    <row r="479" spans="1:10" ht="14.5">
      <c r="A479" s="481"/>
      <c r="B479" s="456" t="s">
        <v>116</v>
      </c>
      <c r="C479" s="407">
        <v>50.129262484805359</v>
      </c>
      <c r="D479" s="407">
        <v>50.274430942069849</v>
      </c>
      <c r="E479" s="407">
        <v>50.407808688899742</v>
      </c>
      <c r="F479" s="406">
        <v>50.381357339899672</v>
      </c>
      <c r="G479" s="611"/>
      <c r="H479" s="611"/>
      <c r="I479" s="611"/>
      <c r="J479" s="611"/>
    </row>
    <row r="480" spans="1:10" ht="14.5">
      <c r="A480" s="471">
        <v>2022</v>
      </c>
      <c r="B480" s="454" t="s">
        <v>105</v>
      </c>
      <c r="C480" s="403">
        <v>50.154732031326823</v>
      </c>
      <c r="D480" s="403">
        <v>50.277766860135472</v>
      </c>
      <c r="E480" s="403">
        <v>50.351190688816295</v>
      </c>
      <c r="F480" s="403">
        <v>50.262426599398182</v>
      </c>
      <c r="G480" s="611"/>
      <c r="H480" s="611"/>
      <c r="I480" s="611"/>
      <c r="J480" s="611"/>
    </row>
    <row r="481" spans="1:10" ht="14.5">
      <c r="A481" s="472"/>
      <c r="B481" s="455" t="s">
        <v>106</v>
      </c>
      <c r="C481" s="405">
        <v>50.175928798489352</v>
      </c>
      <c r="D481" s="405">
        <v>50.253470863353897</v>
      </c>
      <c r="E481" s="405">
        <v>50.194193589457612</v>
      </c>
      <c r="F481" s="405">
        <v>50.261714127131427</v>
      </c>
      <c r="G481" s="611"/>
      <c r="H481" s="611"/>
      <c r="I481" s="611"/>
      <c r="J481" s="611"/>
    </row>
    <row r="482" spans="1:10" ht="14.5">
      <c r="A482" s="472"/>
      <c r="B482" s="455" t="s">
        <v>107</v>
      </c>
      <c r="C482" s="405">
        <v>50.102054546097527</v>
      </c>
      <c r="D482" s="405">
        <v>50.229908813462416</v>
      </c>
      <c r="E482" s="405">
        <v>50.385987392190088</v>
      </c>
      <c r="F482" s="405">
        <v>50.377002377516853</v>
      </c>
      <c r="G482" s="611"/>
      <c r="H482" s="611"/>
      <c r="I482" s="611"/>
      <c r="J482" s="611"/>
    </row>
    <row r="483" spans="1:10" ht="14.5">
      <c r="A483" s="472"/>
      <c r="B483" s="455" t="s">
        <v>108</v>
      </c>
      <c r="C483" s="405">
        <v>50.114511033588443</v>
      </c>
      <c r="D483" s="405">
        <v>50.261655294776965</v>
      </c>
      <c r="E483" s="405">
        <v>50.440060905614857</v>
      </c>
      <c r="F483" s="405">
        <v>50.307651265200199</v>
      </c>
      <c r="G483" s="611"/>
      <c r="H483" s="611"/>
      <c r="I483" s="611"/>
      <c r="J483" s="611"/>
    </row>
    <row r="484" spans="1:10" ht="14.5">
      <c r="A484" s="472"/>
      <c r="B484" s="455" t="s">
        <v>109</v>
      </c>
      <c r="C484" s="405">
        <v>50.079505112145938</v>
      </c>
      <c r="D484" s="405">
        <v>50.220776024653304</v>
      </c>
      <c r="E484" s="405">
        <v>50.37469940372943</v>
      </c>
      <c r="F484" s="405">
        <v>50.266417603854315</v>
      </c>
      <c r="G484" s="611"/>
      <c r="H484" s="611"/>
      <c r="I484" s="611"/>
      <c r="J484" s="611"/>
    </row>
    <row r="485" spans="1:10" ht="14.5">
      <c r="A485" s="472"/>
      <c r="B485" s="455" t="s">
        <v>110</v>
      </c>
      <c r="C485" s="405">
        <v>50.111937690171295</v>
      </c>
      <c r="D485" s="405">
        <v>50.228621791329573</v>
      </c>
      <c r="E485" s="405">
        <v>50.367038182148924</v>
      </c>
      <c r="F485" s="405">
        <v>50.466205029364112</v>
      </c>
      <c r="G485" s="611"/>
      <c r="H485" s="611"/>
      <c r="I485" s="611"/>
      <c r="J485" s="611"/>
    </row>
    <row r="486" spans="1:10" ht="14.5">
      <c r="A486" s="472"/>
      <c r="B486" s="455" t="s">
        <v>117</v>
      </c>
      <c r="C486" s="405">
        <v>50.095047271122787</v>
      </c>
      <c r="D486" s="405">
        <v>50.225010780585173</v>
      </c>
      <c r="E486" s="405">
        <v>50.450725474898476</v>
      </c>
      <c r="F486" s="405">
        <v>50.392461100048635</v>
      </c>
      <c r="G486" s="611"/>
      <c r="H486" s="611"/>
      <c r="I486" s="611"/>
      <c r="J486" s="611"/>
    </row>
    <row r="487" spans="1:10" ht="14.5">
      <c r="A487" s="472"/>
      <c r="B487" s="455" t="s">
        <v>112</v>
      </c>
      <c r="C487" s="405">
        <v>50.116155286529377</v>
      </c>
      <c r="D487" s="405">
        <v>50.17468176213125</v>
      </c>
      <c r="E487" s="405">
        <v>50.335996955348321</v>
      </c>
      <c r="F487" s="405">
        <v>50.148190419267515</v>
      </c>
      <c r="G487" s="611"/>
      <c r="H487" s="611"/>
      <c r="I487" s="611"/>
      <c r="J487" s="611"/>
    </row>
    <row r="488" spans="1:10" ht="14.5">
      <c r="A488" s="472"/>
      <c r="B488" s="455" t="s">
        <v>113</v>
      </c>
      <c r="C488" s="405">
        <v>50.084867378174721</v>
      </c>
      <c r="D488" s="405">
        <v>50.233444551034225</v>
      </c>
      <c r="E488" s="405">
        <v>50.362698829184843</v>
      </c>
      <c r="F488" s="405">
        <v>50.193089977850569</v>
      </c>
      <c r="G488" s="611"/>
      <c r="H488" s="611"/>
      <c r="I488" s="611"/>
      <c r="J488" s="611"/>
    </row>
    <row r="489" spans="1:10" ht="14.5">
      <c r="A489" s="472"/>
      <c r="B489" s="455" t="s">
        <v>114</v>
      </c>
      <c r="C489" s="405">
        <v>50.093810629189655</v>
      </c>
      <c r="D489" s="405">
        <v>50.215128951671744</v>
      </c>
      <c r="E489" s="405">
        <v>50.381636355624408</v>
      </c>
      <c r="F489" s="405">
        <v>50.243676181496241</v>
      </c>
      <c r="G489" s="611"/>
      <c r="H489" s="611"/>
      <c r="I489" s="611"/>
      <c r="J489" s="611"/>
    </row>
    <row r="490" spans="1:10" ht="14.5">
      <c r="A490" s="472"/>
      <c r="B490" s="455" t="s">
        <v>115</v>
      </c>
      <c r="C490" s="405">
        <v>50.032496820679036</v>
      </c>
      <c r="D490" s="405">
        <v>50.161008070501367</v>
      </c>
      <c r="E490" s="405">
        <v>50.314851911701012</v>
      </c>
      <c r="F490" s="405">
        <v>50.249886939930917</v>
      </c>
      <c r="G490" s="611"/>
      <c r="H490" s="611"/>
      <c r="I490" s="611"/>
      <c r="J490" s="611"/>
    </row>
    <row r="491" spans="1:10" ht="14.5">
      <c r="A491" s="473"/>
      <c r="B491" s="456" t="s">
        <v>116</v>
      </c>
      <c r="C491" s="407">
        <v>50.043038094013767</v>
      </c>
      <c r="D491" s="407">
        <v>50.201264236403517</v>
      </c>
      <c r="E491" s="407">
        <v>50.262240838666422</v>
      </c>
      <c r="F491" s="407">
        <v>50.132275689585185</v>
      </c>
      <c r="G491" s="611"/>
      <c r="H491" s="611"/>
      <c r="I491" s="611"/>
      <c r="J491" s="611"/>
    </row>
    <row r="492" spans="1:10" ht="14.5">
      <c r="A492" s="471">
        <v>2023</v>
      </c>
      <c r="B492" s="454" t="s">
        <v>105</v>
      </c>
      <c r="C492" s="403">
        <v>50.206253077378406</v>
      </c>
      <c r="D492" s="403">
        <v>50.175730140924905</v>
      </c>
      <c r="E492" s="403">
        <v>50.308256318467052</v>
      </c>
      <c r="F492" s="403">
        <v>50.087155678076186</v>
      </c>
      <c r="G492" s="611"/>
      <c r="H492" s="611"/>
      <c r="I492" s="611"/>
      <c r="J492" s="611"/>
    </row>
    <row r="493" spans="1:10" ht="14.5">
      <c r="A493" s="472"/>
      <c r="B493" s="455" t="s">
        <v>106</v>
      </c>
      <c r="C493" s="405">
        <v>50.098139192118161</v>
      </c>
      <c r="D493" s="405">
        <v>50.185111254624424</v>
      </c>
      <c r="E493" s="405">
        <v>50.351164682933408</v>
      </c>
      <c r="F493" s="405">
        <v>50.098854471889283</v>
      </c>
      <c r="G493" s="611"/>
      <c r="H493" s="611"/>
      <c r="I493" s="611"/>
      <c r="J493" s="611"/>
    </row>
    <row r="494" spans="1:10" ht="14.5">
      <c r="A494" s="472"/>
      <c r="B494" s="455" t="s">
        <v>107</v>
      </c>
      <c r="C494" s="405">
        <v>50.134114457677818</v>
      </c>
      <c r="D494" s="405">
        <v>50.182572871957149</v>
      </c>
      <c r="E494" s="405">
        <v>50.348427901511677</v>
      </c>
      <c r="F494" s="405">
        <v>50.109612225679207</v>
      </c>
      <c r="G494" s="611"/>
      <c r="H494" s="611"/>
      <c r="I494" s="611"/>
      <c r="J494" s="611"/>
    </row>
    <row r="495" spans="1:10" ht="14.5">
      <c r="A495" s="472"/>
      <c r="B495" s="455" t="s">
        <v>108</v>
      </c>
      <c r="C495" s="405">
        <v>50.097286221535668</v>
      </c>
      <c r="D495" s="405">
        <v>50.115415873375284</v>
      </c>
      <c r="E495" s="405">
        <v>50.215147606139389</v>
      </c>
      <c r="F495" s="405">
        <v>50.172231527046073</v>
      </c>
      <c r="G495" s="611"/>
      <c r="H495" s="611"/>
      <c r="I495" s="611"/>
      <c r="J495" s="611"/>
    </row>
    <row r="496" spans="1:10" ht="14.5">
      <c r="A496" s="472"/>
      <c r="B496" s="455" t="s">
        <v>109</v>
      </c>
      <c r="C496" s="405">
        <v>50.073840152700292</v>
      </c>
      <c r="D496" s="405">
        <v>50.1434614889776</v>
      </c>
      <c r="E496" s="405">
        <v>50.226184089690818</v>
      </c>
      <c r="F496" s="405">
        <v>50.126486333773158</v>
      </c>
      <c r="G496" s="611"/>
      <c r="H496" s="611"/>
      <c r="I496" s="611"/>
      <c r="J496" s="611"/>
    </row>
    <row r="497" spans="1:10" ht="14.5">
      <c r="A497" s="472"/>
      <c r="B497" s="455" t="s">
        <v>110</v>
      </c>
      <c r="C497" s="405">
        <v>50.077589320258944</v>
      </c>
      <c r="D497" s="405">
        <v>50.166677258768814</v>
      </c>
      <c r="E497" s="405">
        <v>50.24354258213144</v>
      </c>
      <c r="F497" s="405">
        <v>50.309792067536641</v>
      </c>
      <c r="G497" s="611"/>
      <c r="H497" s="611"/>
      <c r="I497" s="611"/>
      <c r="J497" s="611"/>
    </row>
    <row r="498" spans="1:10" ht="14.5">
      <c r="A498" s="472"/>
      <c r="B498" s="455" t="s">
        <v>117</v>
      </c>
      <c r="C498" s="405">
        <v>50.029864508028119</v>
      </c>
      <c r="D498" s="405">
        <v>50.177175512293992</v>
      </c>
      <c r="E498" s="405">
        <v>50.347683835805789</v>
      </c>
      <c r="F498" s="405">
        <v>50.321630875005667</v>
      </c>
      <c r="G498" s="611"/>
      <c r="H498" s="611"/>
      <c r="I498" s="611"/>
      <c r="J498" s="611"/>
    </row>
    <row r="499" spans="1:10" ht="14.5">
      <c r="A499" s="472"/>
      <c r="B499" s="455" t="s">
        <v>112</v>
      </c>
      <c r="C499" s="405">
        <v>50.298968434304911</v>
      </c>
      <c r="D499" s="405">
        <v>50.213957670404689</v>
      </c>
      <c r="E499" s="405">
        <v>50.197469710610662</v>
      </c>
      <c r="F499" s="405">
        <v>50.316250619184373</v>
      </c>
      <c r="G499" s="611"/>
      <c r="H499" s="611"/>
      <c r="I499" s="611"/>
      <c r="J499" s="611"/>
    </row>
    <row r="500" spans="1:10" ht="14.5">
      <c r="A500" s="472"/>
      <c r="B500" s="455" t="s">
        <v>113</v>
      </c>
      <c r="C500" s="405">
        <v>50.105766132803524</v>
      </c>
      <c r="D500" s="405">
        <v>50.186214681102648</v>
      </c>
      <c r="E500" s="405">
        <v>50.238840795645523</v>
      </c>
      <c r="F500" s="405">
        <v>50.195635974873397</v>
      </c>
      <c r="G500" s="611"/>
      <c r="H500" s="611"/>
      <c r="I500" s="611"/>
      <c r="J500" s="611"/>
    </row>
    <row r="501" spans="1:10" ht="14.5">
      <c r="A501" s="472"/>
      <c r="B501" s="455" t="s">
        <v>114</v>
      </c>
      <c r="C501" s="405">
        <v>50.212271231004912</v>
      </c>
      <c r="D501" s="405">
        <v>50.145271463537298</v>
      </c>
      <c r="E501" s="405">
        <v>50.162901166343502</v>
      </c>
      <c r="F501" s="405">
        <v>50.239535500994833</v>
      </c>
      <c r="G501" s="611"/>
      <c r="H501" s="611"/>
      <c r="I501" s="611"/>
      <c r="J501" s="611"/>
    </row>
    <row r="502" spans="1:10" ht="14.5">
      <c r="A502" s="472"/>
      <c r="B502" s="455" t="s">
        <v>115</v>
      </c>
      <c r="C502" s="405">
        <v>50.067221431092875</v>
      </c>
      <c r="D502" s="405">
        <v>50.189295806105669</v>
      </c>
      <c r="E502" s="405">
        <v>50.452253021923724</v>
      </c>
      <c r="F502" s="405">
        <v>50.118177504168941</v>
      </c>
      <c r="G502" s="611"/>
      <c r="H502" s="611"/>
      <c r="I502" s="611"/>
      <c r="J502" s="611"/>
    </row>
    <row r="503" spans="1:10" ht="14.5">
      <c r="A503" s="473"/>
      <c r="B503" s="456" t="s">
        <v>116</v>
      </c>
      <c r="C503" s="407">
        <v>50.002600612737332</v>
      </c>
      <c r="D503" s="407">
        <v>50.23910673335812</v>
      </c>
      <c r="E503" s="407">
        <v>50.308310124669291</v>
      </c>
      <c r="F503" s="407">
        <v>50.192652029997916</v>
      </c>
      <c r="G503" s="611"/>
      <c r="H503" s="611"/>
      <c r="I503" s="611"/>
      <c r="J503" s="611"/>
    </row>
    <row r="504" spans="1:10" ht="14.5">
      <c r="A504" s="471">
        <v>2024</v>
      </c>
      <c r="B504" s="454" t="s">
        <v>105</v>
      </c>
      <c r="C504" s="403">
        <v>49.862779128389036</v>
      </c>
      <c r="D504" s="403">
        <v>50.117140421178014</v>
      </c>
      <c r="E504" s="403">
        <v>50.279641541022322</v>
      </c>
      <c r="F504" s="403">
        <v>50.075249368320556</v>
      </c>
      <c r="G504" s="611"/>
      <c r="H504" s="611"/>
      <c r="I504" s="611"/>
      <c r="J504" s="611"/>
    </row>
    <row r="505" spans="1:10" ht="14.5">
      <c r="A505" s="472"/>
      <c r="B505" s="455" t="s">
        <v>106</v>
      </c>
      <c r="C505" s="405">
        <v>50.074836476988438</v>
      </c>
      <c r="D505" s="405">
        <v>50.160439326193689</v>
      </c>
      <c r="E505" s="405">
        <v>50.105826758688792</v>
      </c>
      <c r="F505" s="405">
        <v>49.854793021601388</v>
      </c>
      <c r="G505" s="611"/>
      <c r="H505" s="611"/>
      <c r="I505" s="611"/>
      <c r="J505" s="611"/>
    </row>
    <row r="506" spans="1:10" ht="14.5">
      <c r="A506" s="472"/>
      <c r="B506" s="455" t="s">
        <v>107</v>
      </c>
      <c r="C506" s="405">
        <v>50.015765186777777</v>
      </c>
      <c r="D506" s="405">
        <v>50.194215308936691</v>
      </c>
      <c r="E506" s="405">
        <v>50.131247477953984</v>
      </c>
      <c r="F506" s="405">
        <v>50.186654219188533</v>
      </c>
      <c r="G506" s="611"/>
      <c r="H506" s="611"/>
      <c r="I506" s="611"/>
      <c r="J506" s="611"/>
    </row>
    <row r="507" spans="1:10" ht="14.5">
      <c r="A507" s="472"/>
      <c r="B507" s="455" t="s">
        <v>108</v>
      </c>
      <c r="C507" s="632">
        <v>50.037737034700434</v>
      </c>
      <c r="D507" s="632">
        <v>50.067079847982917</v>
      </c>
      <c r="E507" s="632">
        <v>50.058134493977661</v>
      </c>
      <c r="F507" s="632">
        <v>50.283651462972486</v>
      </c>
      <c r="G507" s="611"/>
      <c r="H507" s="611"/>
      <c r="I507" s="611"/>
      <c r="J507" s="611"/>
    </row>
    <row r="508" spans="1:10" ht="14.5">
      <c r="A508" s="472"/>
      <c r="B508" s="455" t="s">
        <v>109</v>
      </c>
      <c r="C508" s="405">
        <v>49.976196040758445</v>
      </c>
      <c r="D508" s="405">
        <v>50.064750598262805</v>
      </c>
      <c r="E508" s="405">
        <v>50.029454216370937</v>
      </c>
      <c r="F508" s="405">
        <v>50.225325641962861</v>
      </c>
      <c r="G508" s="611"/>
      <c r="H508" s="611"/>
      <c r="I508" s="611"/>
      <c r="J508" s="611"/>
    </row>
    <row r="509" spans="1:10" ht="14.5">
      <c r="A509" s="472"/>
      <c r="B509" s="455" t="s">
        <v>110</v>
      </c>
      <c r="C509" s="405">
        <v>50.001621054141097</v>
      </c>
      <c r="D509" s="405">
        <v>50.033812651644681</v>
      </c>
      <c r="E509" s="405">
        <v>50.011610665486138</v>
      </c>
      <c r="F509" s="405">
        <v>49.617922645694598</v>
      </c>
      <c r="G509" s="611"/>
      <c r="H509" s="611"/>
      <c r="I509" s="611"/>
      <c r="J509" s="611"/>
    </row>
    <row r="510" spans="1:10" ht="14.5">
      <c r="A510" s="472"/>
      <c r="B510" s="455" t="s">
        <v>117</v>
      </c>
      <c r="C510" s="405">
        <v>50</v>
      </c>
      <c r="D510" s="405">
        <v>50.1</v>
      </c>
      <c r="E510" s="405">
        <v>50</v>
      </c>
      <c r="F510" s="405">
        <v>50</v>
      </c>
      <c r="G510" s="611"/>
      <c r="H510" s="611"/>
      <c r="I510" s="611"/>
      <c r="J510" s="611"/>
    </row>
    <row r="511" spans="1:10" ht="14.5">
      <c r="A511" s="472"/>
      <c r="B511" s="455" t="s">
        <v>112</v>
      </c>
      <c r="C511" s="405">
        <v>50.020455130960194</v>
      </c>
      <c r="D511" s="405">
        <v>50.486238334038127</v>
      </c>
      <c r="E511" s="405">
        <v>50.688635626352628</v>
      </c>
      <c r="F511" s="405">
        <v>50.272932740460909</v>
      </c>
      <c r="G511" s="611"/>
      <c r="H511" s="611"/>
      <c r="I511" s="611"/>
      <c r="J511" s="611"/>
    </row>
    <row r="512" spans="1:10" ht="14.5">
      <c r="A512" s="472"/>
      <c r="B512" s="455" t="s">
        <v>113</v>
      </c>
      <c r="C512" s="405">
        <v>49.969601419252207</v>
      </c>
      <c r="D512" s="405">
        <v>50.026740576029333</v>
      </c>
      <c r="E512" s="405">
        <v>50.697165361093774</v>
      </c>
      <c r="F512" s="405">
        <v>50.124659074198277</v>
      </c>
      <c r="G512" s="611"/>
      <c r="H512" s="611"/>
      <c r="I512" s="611"/>
      <c r="J512" s="611"/>
    </row>
    <row r="513" spans="1:10" ht="14.5">
      <c r="A513" s="472"/>
      <c r="B513" s="455" t="s">
        <v>114</v>
      </c>
      <c r="C513" s="405">
        <v>50.019089978324537</v>
      </c>
      <c r="D513" s="405">
        <v>49.570715605616485</v>
      </c>
      <c r="E513" s="405">
        <v>50.021765778176736</v>
      </c>
      <c r="F513" s="405">
        <v>49.87887499020556</v>
      </c>
      <c r="G513" s="611"/>
      <c r="H513" s="611"/>
      <c r="I513" s="611"/>
      <c r="J513" s="611"/>
    </row>
    <row r="514" spans="1:10" ht="14.5">
      <c r="A514" s="472"/>
      <c r="B514" s="455" t="s">
        <v>115</v>
      </c>
      <c r="C514" s="405">
        <v>50.068095825142684</v>
      </c>
      <c r="D514" s="405">
        <v>50.083060265624418</v>
      </c>
      <c r="E514" s="405">
        <v>49.396658539050364</v>
      </c>
      <c r="F514" s="405">
        <v>50.149312408742276</v>
      </c>
      <c r="G514" s="611"/>
      <c r="H514" s="611"/>
      <c r="I514" s="611"/>
      <c r="J514" s="611"/>
    </row>
    <row r="515" spans="1:10" ht="14.5">
      <c r="A515" s="473"/>
      <c r="B515" s="456" t="s">
        <v>116</v>
      </c>
      <c r="C515" s="407">
        <v>50.1</v>
      </c>
      <c r="D515" s="407">
        <v>50.1</v>
      </c>
      <c r="E515" s="407">
        <v>50</v>
      </c>
      <c r="F515" s="407">
        <v>50.2</v>
      </c>
      <c r="G515" s="611"/>
      <c r="H515" s="611"/>
      <c r="I515" s="611"/>
      <c r="J515" s="611"/>
    </row>
    <row r="516" spans="1:10" ht="14.5">
      <c r="A516" s="471">
        <v>2025</v>
      </c>
      <c r="B516" s="454" t="s">
        <v>105</v>
      </c>
      <c r="C516" s="403">
        <v>50.017681537265382</v>
      </c>
      <c r="D516" s="403">
        <v>50.066474739497586</v>
      </c>
      <c r="E516" s="403">
        <v>50.011346694966271</v>
      </c>
      <c r="F516" s="403">
        <v>49.900918653469013</v>
      </c>
      <c r="G516" s="611"/>
      <c r="H516" s="611"/>
      <c r="I516" s="611"/>
      <c r="J516" s="611"/>
    </row>
    <row r="517" spans="1:10" ht="14.5">
      <c r="A517" s="472"/>
      <c r="B517" s="455" t="s">
        <v>106</v>
      </c>
      <c r="C517" s="405">
        <v>50.027224234839188</v>
      </c>
      <c r="D517" s="405">
        <v>50.026776621061337</v>
      </c>
      <c r="E517" s="405">
        <v>50.002853998887325</v>
      </c>
      <c r="F517" s="405">
        <v>49.752698497714043</v>
      </c>
      <c r="G517" s="611"/>
      <c r="H517" s="611"/>
      <c r="I517" s="611"/>
      <c r="J517" s="611"/>
    </row>
    <row r="518" spans="1:10" ht="14.5">
      <c r="A518" s="472"/>
      <c r="B518" s="455" t="s">
        <v>107</v>
      </c>
      <c r="C518" s="405">
        <v>50.11176248877333</v>
      </c>
      <c r="D518" s="405">
        <v>50.049809899315775</v>
      </c>
      <c r="E518" s="405">
        <v>50.024848077535552</v>
      </c>
      <c r="F518" s="405">
        <v>49.837597807133498</v>
      </c>
      <c r="G518" s="611"/>
      <c r="H518" s="611"/>
      <c r="I518" s="611"/>
      <c r="J518" s="611"/>
    </row>
    <row r="519" spans="1:10" ht="14.5">
      <c r="A519" s="472"/>
      <c r="B519" s="455" t="s">
        <v>108</v>
      </c>
      <c r="C519" s="405">
        <v>49.981529103329628</v>
      </c>
      <c r="D519" s="405">
        <v>50.006682902907649</v>
      </c>
      <c r="E519" s="405">
        <v>50.302478825805196</v>
      </c>
      <c r="F519" s="405">
        <v>49.954609887914174</v>
      </c>
      <c r="G519" s="611"/>
      <c r="H519" s="611"/>
      <c r="I519" s="611"/>
      <c r="J519" s="611"/>
    </row>
    <row r="520" spans="1:10" ht="14.5">
      <c r="A520" s="472"/>
      <c r="B520" s="455" t="s">
        <v>109</v>
      </c>
      <c r="C520" s="405">
        <v>49.956134833933248</v>
      </c>
      <c r="D520" s="405">
        <v>50.260049945071309</v>
      </c>
      <c r="E520" s="405">
        <v>50.095498003534502</v>
      </c>
      <c r="F520" s="405">
        <v>50.120814482407901</v>
      </c>
      <c r="G520" s="611"/>
      <c r="H520" s="611"/>
      <c r="I520" s="611"/>
      <c r="J520" s="611"/>
    </row>
    <row r="521" spans="1:10" ht="14.5">
      <c r="A521" s="472"/>
      <c r="B521" s="455" t="s">
        <v>110</v>
      </c>
      <c r="C521" s="710">
        <v>50</v>
      </c>
      <c r="D521" s="710">
        <v>50.5</v>
      </c>
      <c r="E521" s="710">
        <v>50.2</v>
      </c>
      <c r="F521" s="710">
        <v>49.9</v>
      </c>
      <c r="G521" s="611"/>
      <c r="H521" s="611"/>
      <c r="I521" s="611"/>
      <c r="J521" s="611"/>
    </row>
    <row r="522" spans="1:10" ht="14.5">
      <c r="A522" s="472"/>
      <c r="B522" s="455" t="s">
        <v>117</v>
      </c>
      <c r="C522" s="710">
        <v>50.022831924440098</v>
      </c>
      <c r="D522" s="710">
        <v>50.044249343889199</v>
      </c>
      <c r="E522" s="710">
        <v>50.572438022474003</v>
      </c>
      <c r="F522" s="710">
        <v>49.4034186993212</v>
      </c>
      <c r="G522" s="611"/>
      <c r="H522" s="611"/>
      <c r="I522" s="611"/>
      <c r="J522" s="611"/>
    </row>
    <row r="523" spans="1:10" ht="14.5">
      <c r="A523" s="473"/>
      <c r="B523" s="456" t="s">
        <v>112</v>
      </c>
      <c r="C523" s="711">
        <v>50.052536941845702</v>
      </c>
      <c r="D523" s="711">
        <v>50.087926351143501</v>
      </c>
      <c r="E523" s="711">
        <v>50.222154642128203</v>
      </c>
      <c r="F523" s="711">
        <v>50.339788578242</v>
      </c>
      <c r="G523" s="611"/>
      <c r="H523" s="611"/>
      <c r="I523" s="611"/>
      <c r="J523" s="611"/>
    </row>
    <row r="524" spans="1:10">
      <c r="G524" s="611"/>
      <c r="H524" s="611"/>
      <c r="I524" s="611"/>
      <c r="J524" s="611"/>
    </row>
    <row r="525" spans="1:10" ht="14.5">
      <c r="A525" s="869" t="s">
        <v>373</v>
      </c>
      <c r="B525" s="869"/>
      <c r="C525" s="869"/>
      <c r="D525" s="869"/>
      <c r="E525" s="869"/>
      <c r="F525" s="869"/>
      <c r="G525" s="611"/>
      <c r="H525" s="611"/>
      <c r="I525" s="611"/>
      <c r="J525" s="611"/>
    </row>
    <row r="526" spans="1:10" ht="14.5">
      <c r="A526" s="735" t="s">
        <v>98</v>
      </c>
      <c r="B526" s="739"/>
      <c r="C526" s="864" t="s">
        <v>361</v>
      </c>
      <c r="D526" s="865"/>
      <c r="E526" s="865"/>
      <c r="F526" s="866"/>
      <c r="G526" s="611"/>
      <c r="H526" s="611"/>
      <c r="I526" s="611"/>
      <c r="J526" s="611"/>
    </row>
    <row r="527" spans="1:10" ht="45" customHeight="1">
      <c r="A527" s="740"/>
      <c r="B527" s="741"/>
      <c r="C527" s="557" t="s">
        <v>362</v>
      </c>
      <c r="D527" s="557" t="s">
        <v>363</v>
      </c>
      <c r="E527" s="557" t="s">
        <v>364</v>
      </c>
      <c r="F527" s="556" t="s">
        <v>365</v>
      </c>
      <c r="G527" s="611"/>
      <c r="H527" s="611"/>
      <c r="I527" s="611"/>
      <c r="J527" s="611"/>
    </row>
    <row r="528" spans="1:10" ht="14.5">
      <c r="A528" s="471">
        <v>2020</v>
      </c>
      <c r="B528" s="453" t="s">
        <v>112</v>
      </c>
      <c r="C528" s="403">
        <v>50.128049930093574</v>
      </c>
      <c r="D528" s="403">
        <v>50.146156308552399</v>
      </c>
      <c r="E528" s="403">
        <v>50.161926550046289</v>
      </c>
      <c r="F528" s="402">
        <v>50.348627545200607</v>
      </c>
      <c r="G528" s="611"/>
      <c r="H528" s="611"/>
      <c r="I528" s="611"/>
      <c r="J528" s="611"/>
    </row>
    <row r="529" spans="1:10" ht="14.5">
      <c r="A529" s="472"/>
      <c r="B529" s="455" t="s">
        <v>113</v>
      </c>
      <c r="C529" s="405">
        <v>49.987601234317189</v>
      </c>
      <c r="D529" s="405">
        <v>50.134607702455888</v>
      </c>
      <c r="E529" s="405">
        <v>50.111172880066704</v>
      </c>
      <c r="F529" s="404">
        <v>50.164615625727137</v>
      </c>
      <c r="G529" s="611"/>
      <c r="H529" s="611"/>
      <c r="I529" s="611"/>
      <c r="J529" s="611"/>
    </row>
    <row r="530" spans="1:10" ht="14.5">
      <c r="A530" s="472"/>
      <c r="B530" s="455" t="s">
        <v>114</v>
      </c>
      <c r="C530" s="405">
        <v>50.043774959078625</v>
      </c>
      <c r="D530" s="405">
        <v>50.177247460869211</v>
      </c>
      <c r="E530" s="405">
        <v>50.131964209981355</v>
      </c>
      <c r="F530" s="404">
        <v>50.174220585758633</v>
      </c>
      <c r="G530" s="611"/>
      <c r="H530" s="611"/>
      <c r="I530" s="611"/>
      <c r="J530" s="611"/>
    </row>
    <row r="531" spans="1:10" ht="14.5">
      <c r="A531" s="472"/>
      <c r="B531" s="455" t="s">
        <v>115</v>
      </c>
      <c r="C531" s="405">
        <v>50.183436839218388</v>
      </c>
      <c r="D531" s="405">
        <v>50.211826124540174</v>
      </c>
      <c r="E531" s="405">
        <v>50.281210590334631</v>
      </c>
      <c r="F531" s="404">
        <v>50.23603831706113</v>
      </c>
      <c r="G531" s="611"/>
      <c r="H531" s="611"/>
      <c r="I531" s="611"/>
      <c r="J531" s="611"/>
    </row>
    <row r="532" spans="1:10" ht="14.5">
      <c r="A532" s="472"/>
      <c r="B532" s="456" t="s">
        <v>116</v>
      </c>
      <c r="C532" s="407">
        <v>50.061776012390482</v>
      </c>
      <c r="D532" s="407">
        <v>50.167128359289151</v>
      </c>
      <c r="E532" s="407">
        <v>50.186611023670608</v>
      </c>
      <c r="F532" s="406">
        <v>50.093655726904181</v>
      </c>
      <c r="G532" s="611"/>
      <c r="H532" s="611"/>
      <c r="I532" s="611"/>
      <c r="J532" s="611"/>
    </row>
    <row r="533" spans="1:10" ht="14.5">
      <c r="A533" s="631">
        <v>2021</v>
      </c>
      <c r="B533" s="454" t="s">
        <v>105</v>
      </c>
      <c r="C533" s="403">
        <v>50.21450794162233</v>
      </c>
      <c r="D533" s="403">
        <v>50.139191501685943</v>
      </c>
      <c r="E533" s="403">
        <v>50.396571529102424</v>
      </c>
      <c r="F533" s="402">
        <v>50.18383929216359</v>
      </c>
      <c r="G533" s="611"/>
      <c r="H533" s="611"/>
      <c r="I533" s="611"/>
      <c r="J533" s="611"/>
    </row>
    <row r="534" spans="1:10" ht="14.5">
      <c r="A534" s="480"/>
      <c r="B534" s="455" t="s">
        <v>106</v>
      </c>
      <c r="C534" s="405">
        <v>50.093095548164726</v>
      </c>
      <c r="D534" s="405">
        <v>50.165446647021476</v>
      </c>
      <c r="E534" s="405">
        <v>50.402255761179241</v>
      </c>
      <c r="F534" s="404">
        <v>50.244681352484783</v>
      </c>
      <c r="G534" s="611"/>
      <c r="H534" s="611"/>
      <c r="I534" s="611"/>
      <c r="J534" s="611"/>
    </row>
    <row r="535" spans="1:10" ht="14.5">
      <c r="A535" s="480"/>
      <c r="B535" s="455" t="s">
        <v>107</v>
      </c>
      <c r="C535" s="405">
        <v>50.121074573954964</v>
      </c>
      <c r="D535" s="405">
        <v>50.224086695565155</v>
      </c>
      <c r="E535" s="405">
        <v>50.271087013563758</v>
      </c>
      <c r="F535" s="404">
        <v>50.300261577778407</v>
      </c>
      <c r="G535" s="611"/>
      <c r="H535" s="611"/>
      <c r="I535" s="611"/>
      <c r="J535" s="611"/>
    </row>
    <row r="536" spans="1:10" ht="14.5">
      <c r="A536" s="480"/>
      <c r="B536" s="455" t="s">
        <v>108</v>
      </c>
      <c r="C536" s="405">
        <v>50.17609922356975</v>
      </c>
      <c r="D536" s="405">
        <v>50.235759910676435</v>
      </c>
      <c r="E536" s="405">
        <v>50.307633414495626</v>
      </c>
      <c r="F536" s="404">
        <v>50.057128383544153</v>
      </c>
      <c r="G536" s="611"/>
      <c r="H536" s="611"/>
      <c r="I536" s="611"/>
      <c r="J536" s="611"/>
    </row>
    <row r="537" spans="1:10" ht="14.5">
      <c r="A537" s="480"/>
      <c r="B537" s="455" t="s">
        <v>109</v>
      </c>
      <c r="C537" s="405">
        <v>50.015018559298795</v>
      </c>
      <c r="D537" s="405">
        <v>50.243761135851422</v>
      </c>
      <c r="E537" s="405">
        <v>50.140491951058237</v>
      </c>
      <c r="F537" s="404">
        <v>50.176906910736911</v>
      </c>
      <c r="G537" s="611"/>
      <c r="H537" s="611"/>
      <c r="I537" s="611"/>
      <c r="J537" s="611"/>
    </row>
    <row r="538" spans="1:10" ht="14.5">
      <c r="A538" s="480"/>
      <c r="B538" s="455" t="s">
        <v>110</v>
      </c>
      <c r="C538" s="405">
        <v>50.154043634026728</v>
      </c>
      <c r="D538" s="405">
        <v>50.182792308217877</v>
      </c>
      <c r="E538" s="405">
        <v>50.250456946115129</v>
      </c>
      <c r="F538" s="404">
        <v>50.20088183037376</v>
      </c>
      <c r="G538" s="611"/>
      <c r="H538" s="611"/>
      <c r="I538" s="611"/>
      <c r="J538" s="611"/>
    </row>
    <row r="539" spans="1:10" ht="14.5">
      <c r="A539" s="480"/>
      <c r="B539" s="455" t="s">
        <v>117</v>
      </c>
      <c r="C539" s="405">
        <v>50.025599125875054</v>
      </c>
      <c r="D539" s="405">
        <v>50.170543628402555</v>
      </c>
      <c r="E539" s="405">
        <v>50.174656092328036</v>
      </c>
      <c r="F539" s="404">
        <v>50.119434316197406</v>
      </c>
      <c r="G539" s="611"/>
      <c r="H539" s="611"/>
      <c r="I539" s="611"/>
      <c r="J539" s="611"/>
    </row>
    <row r="540" spans="1:10" ht="14.5">
      <c r="A540" s="480"/>
      <c r="B540" s="455" t="s">
        <v>112</v>
      </c>
      <c r="C540" s="405">
        <v>49.934843297813337</v>
      </c>
      <c r="D540" s="405">
        <v>50.081189920452225</v>
      </c>
      <c r="E540" s="405">
        <v>50.062975404113182</v>
      </c>
      <c r="F540" s="404">
        <v>50.113732947492636</v>
      </c>
      <c r="G540" s="611"/>
      <c r="H540" s="611"/>
      <c r="I540" s="611"/>
      <c r="J540" s="611"/>
    </row>
    <row r="541" spans="1:10" ht="14.5">
      <c r="A541" s="480"/>
      <c r="B541" s="455" t="s">
        <v>113</v>
      </c>
      <c r="C541" s="405">
        <v>49.950243129347989</v>
      </c>
      <c r="D541" s="405">
        <v>50.104290851231475</v>
      </c>
      <c r="E541" s="405">
        <v>50.231064809760468</v>
      </c>
      <c r="F541" s="404">
        <v>49.996762267698919</v>
      </c>
      <c r="G541" s="611"/>
      <c r="H541" s="611"/>
      <c r="I541" s="611"/>
      <c r="J541" s="611"/>
    </row>
    <row r="542" spans="1:10" ht="14.5">
      <c r="A542" s="480"/>
      <c r="B542" s="455" t="s">
        <v>114</v>
      </c>
      <c r="C542" s="405">
        <v>50.021940423188063</v>
      </c>
      <c r="D542" s="405">
        <v>50.119168565263749</v>
      </c>
      <c r="E542" s="405">
        <v>50.223919182437633</v>
      </c>
      <c r="F542" s="404">
        <v>50.158595922871228</v>
      </c>
      <c r="G542" s="611"/>
      <c r="H542" s="611"/>
      <c r="I542" s="611"/>
      <c r="J542" s="611"/>
    </row>
    <row r="543" spans="1:10" ht="14.5">
      <c r="A543" s="472"/>
      <c r="B543" s="455" t="s">
        <v>115</v>
      </c>
      <c r="C543" s="405">
        <v>50.148993389495651</v>
      </c>
      <c r="D543" s="405">
        <v>50.223553043626552</v>
      </c>
      <c r="E543" s="405">
        <v>50.332681604979385</v>
      </c>
      <c r="F543" s="404">
        <v>50.30258889559996</v>
      </c>
      <c r="G543" s="611"/>
      <c r="H543" s="611"/>
      <c r="I543" s="611"/>
      <c r="J543" s="611"/>
    </row>
    <row r="544" spans="1:10" ht="14.5">
      <c r="A544" s="634"/>
      <c r="B544" s="456" t="s">
        <v>116</v>
      </c>
      <c r="C544" s="407">
        <v>50.113988963636501</v>
      </c>
      <c r="D544" s="407">
        <v>50.204193367650447</v>
      </c>
      <c r="E544" s="407">
        <v>50.394982605096793</v>
      </c>
      <c r="F544" s="407">
        <v>50.160092560302012</v>
      </c>
      <c r="G544" s="611"/>
      <c r="H544" s="611"/>
      <c r="I544" s="611"/>
      <c r="J544" s="611"/>
    </row>
    <row r="545" spans="1:10" ht="14.5">
      <c r="A545" s="566">
        <v>2022</v>
      </c>
      <c r="B545" s="454" t="s">
        <v>105</v>
      </c>
      <c r="C545" s="403">
        <v>50.177545720038012</v>
      </c>
      <c r="D545" s="403">
        <v>50.243470838023519</v>
      </c>
      <c r="E545" s="403">
        <v>50.293417811633176</v>
      </c>
      <c r="F545" s="403">
        <v>50.226119626132466</v>
      </c>
      <c r="G545" s="611"/>
      <c r="H545" s="611"/>
      <c r="I545" s="611"/>
      <c r="J545" s="611"/>
    </row>
    <row r="546" spans="1:10" ht="14.5">
      <c r="A546" s="541"/>
      <c r="B546" s="455" t="s">
        <v>106</v>
      </c>
      <c r="C546" s="405">
        <v>50.088364154566477</v>
      </c>
      <c r="D546" s="405">
        <v>50.230386801855062</v>
      </c>
      <c r="E546" s="405">
        <v>50.292637627996115</v>
      </c>
      <c r="F546" s="405">
        <v>50.33150900557856</v>
      </c>
      <c r="G546" s="611"/>
      <c r="H546" s="611"/>
      <c r="I546" s="611"/>
      <c r="J546" s="611"/>
    </row>
    <row r="547" spans="1:10" ht="14.5">
      <c r="A547" s="541"/>
      <c r="B547" s="455" t="s">
        <v>107</v>
      </c>
      <c r="C547" s="405">
        <v>50.166164516730468</v>
      </c>
      <c r="D547" s="405">
        <v>50.220761124727566</v>
      </c>
      <c r="E547" s="405">
        <v>50.256106096839652</v>
      </c>
      <c r="F547" s="405">
        <v>50.255259742060169</v>
      </c>
      <c r="G547" s="611"/>
      <c r="H547" s="611"/>
      <c r="I547" s="611"/>
      <c r="J547" s="611"/>
    </row>
    <row r="548" spans="1:10" ht="14.5">
      <c r="A548" s="541"/>
      <c r="B548" s="455" t="s">
        <v>108</v>
      </c>
      <c r="C548" s="405">
        <v>50.060189969473377</v>
      </c>
      <c r="D548" s="405">
        <v>50.285033923126655</v>
      </c>
      <c r="E548" s="405">
        <v>50.347540255236119</v>
      </c>
      <c r="F548" s="405">
        <v>50.126887419914112</v>
      </c>
      <c r="G548" s="611"/>
      <c r="H548" s="611"/>
      <c r="I548" s="611"/>
      <c r="J548" s="611"/>
    </row>
    <row r="549" spans="1:10" ht="14.5">
      <c r="A549" s="541"/>
      <c r="B549" s="455" t="s">
        <v>109</v>
      </c>
      <c r="C549" s="405">
        <v>50.110771181052883</v>
      </c>
      <c r="D549" s="405">
        <v>50.179167642009268</v>
      </c>
      <c r="E549" s="405">
        <v>50.365231898112235</v>
      </c>
      <c r="F549" s="405">
        <v>50.264069411335605</v>
      </c>
      <c r="G549" s="611"/>
      <c r="H549" s="611"/>
      <c r="I549" s="611"/>
      <c r="J549" s="611"/>
    </row>
    <row r="550" spans="1:10" ht="14.5">
      <c r="A550" s="541"/>
      <c r="B550" s="455" t="s">
        <v>110</v>
      </c>
      <c r="C550" s="405">
        <v>50.125126504556853</v>
      </c>
      <c r="D550" s="405">
        <v>50.275386341868995</v>
      </c>
      <c r="E550" s="405">
        <v>50.292356399309369</v>
      </c>
      <c r="F550" s="405">
        <v>50.438086064401311</v>
      </c>
      <c r="G550" s="611"/>
      <c r="H550" s="611"/>
      <c r="I550" s="611"/>
      <c r="J550" s="611"/>
    </row>
    <row r="551" spans="1:10" ht="14.5">
      <c r="A551" s="541"/>
      <c r="B551" s="455" t="s">
        <v>117</v>
      </c>
      <c r="C551" s="405">
        <v>49.963030106855967</v>
      </c>
      <c r="D551" s="405">
        <v>50.249513985696424</v>
      </c>
      <c r="E551" s="405">
        <v>50.2610603880238</v>
      </c>
      <c r="F551" s="405">
        <v>50.20671828697342</v>
      </c>
      <c r="G551" s="611"/>
      <c r="H551" s="611"/>
      <c r="I551" s="611"/>
      <c r="J551" s="611"/>
    </row>
    <row r="552" spans="1:10" ht="14.5">
      <c r="A552" s="541"/>
      <c r="B552" s="455" t="s">
        <v>112</v>
      </c>
      <c r="C552" s="405">
        <v>50.087196402984702</v>
      </c>
      <c r="D552" s="405">
        <v>50.183042162518007</v>
      </c>
      <c r="E552" s="405">
        <v>50.351708072940468</v>
      </c>
      <c r="F552" s="405">
        <v>50.308284309208148</v>
      </c>
      <c r="G552" s="611"/>
      <c r="H552" s="611"/>
      <c r="I552" s="611"/>
      <c r="J552" s="611"/>
    </row>
    <row r="553" spans="1:10" ht="14.5">
      <c r="A553" s="541"/>
      <c r="B553" s="455" t="s">
        <v>113</v>
      </c>
      <c r="C553" s="405">
        <v>50.10035310877376</v>
      </c>
      <c r="D553" s="405">
        <v>50.219577233223028</v>
      </c>
      <c r="E553" s="405">
        <v>50.404458532316717</v>
      </c>
      <c r="F553" s="405">
        <v>50.2744461699385</v>
      </c>
      <c r="G553" s="611"/>
      <c r="H553" s="611"/>
      <c r="I553" s="611"/>
      <c r="J553" s="611"/>
    </row>
    <row r="554" spans="1:10" ht="14.5">
      <c r="A554" s="541"/>
      <c r="B554" s="455" t="s">
        <v>114</v>
      </c>
      <c r="C554" s="405">
        <v>50.03864636541789</v>
      </c>
      <c r="D554" s="405">
        <v>50.185092685739995</v>
      </c>
      <c r="E554" s="405">
        <v>50.414324277677991</v>
      </c>
      <c r="F554" s="405">
        <v>50.250309556476871</v>
      </c>
      <c r="G554" s="611"/>
      <c r="H554" s="611"/>
      <c r="I554" s="611"/>
      <c r="J554" s="611"/>
    </row>
    <row r="555" spans="1:10" ht="14.5">
      <c r="A555" s="541"/>
      <c r="B555" s="455" t="s">
        <v>115</v>
      </c>
      <c r="C555" s="405">
        <v>50.029188486851055</v>
      </c>
      <c r="D555" s="405">
        <v>50.242460908957021</v>
      </c>
      <c r="E555" s="405">
        <v>50.335712568278872</v>
      </c>
      <c r="F555" s="405">
        <v>50.176036620667503</v>
      </c>
      <c r="G555" s="611"/>
      <c r="H555" s="611"/>
      <c r="I555" s="611"/>
      <c r="J555" s="611"/>
    </row>
    <row r="556" spans="1:10" ht="14.5">
      <c r="A556" s="540"/>
      <c r="B556" s="456" t="s">
        <v>116</v>
      </c>
      <c r="C556" s="407">
        <v>50.152729738499545</v>
      </c>
      <c r="D556" s="407">
        <v>50.220572007875063</v>
      </c>
      <c r="E556" s="407">
        <v>50.22621609711166</v>
      </c>
      <c r="F556" s="407">
        <v>50.172454883953868</v>
      </c>
      <c r="G556" s="611"/>
      <c r="H556" s="611"/>
      <c r="I556" s="611"/>
      <c r="J556" s="611"/>
    </row>
    <row r="557" spans="1:10" ht="14.5">
      <c r="A557" s="566">
        <v>2023</v>
      </c>
      <c r="B557" s="454" t="s">
        <v>105</v>
      </c>
      <c r="C557" s="403">
        <v>50.046432084615724</v>
      </c>
      <c r="D557" s="403">
        <v>50.106794232554918</v>
      </c>
      <c r="E557" s="403">
        <v>50.098920606953691</v>
      </c>
      <c r="F557" s="403">
        <v>49.990854941349276</v>
      </c>
      <c r="G557" s="611"/>
      <c r="H557" s="611"/>
      <c r="I557" s="611"/>
      <c r="J557" s="611"/>
    </row>
    <row r="558" spans="1:10" ht="14.5">
      <c r="A558" s="472"/>
      <c r="B558" s="455" t="s">
        <v>106</v>
      </c>
      <c r="C558" s="405">
        <v>50.115194550737549</v>
      </c>
      <c r="D558" s="405">
        <v>50.165400886328008</v>
      </c>
      <c r="E558" s="405">
        <v>50.240423952625669</v>
      </c>
      <c r="F558" s="405">
        <v>50.079694727499536</v>
      </c>
      <c r="G558" s="611"/>
      <c r="H558" s="611"/>
      <c r="I558" s="611"/>
      <c r="J558" s="611"/>
    </row>
    <row r="559" spans="1:10" ht="14.5">
      <c r="A559" s="472"/>
      <c r="B559" s="455" t="s">
        <v>107</v>
      </c>
      <c r="C559" s="405">
        <v>50.133769617493094</v>
      </c>
      <c r="D559" s="405">
        <v>50.130488086069221</v>
      </c>
      <c r="E559" s="405">
        <v>50.347718173690822</v>
      </c>
      <c r="F559" s="405">
        <v>50.192776719389144</v>
      </c>
      <c r="G559" s="611"/>
      <c r="H559" s="611"/>
      <c r="I559" s="611"/>
      <c r="J559" s="611"/>
    </row>
    <row r="560" spans="1:10" ht="14.5">
      <c r="A560" s="472"/>
      <c r="B560" s="455" t="s">
        <v>108</v>
      </c>
      <c r="C560" s="405">
        <v>50.096823791987759</v>
      </c>
      <c r="D560" s="405">
        <v>50.134717748291116</v>
      </c>
      <c r="E560" s="405">
        <v>50.19034583724406</v>
      </c>
      <c r="F560" s="405">
        <v>50.231996024776727</v>
      </c>
      <c r="G560" s="611"/>
      <c r="H560" s="611"/>
      <c r="I560" s="611"/>
      <c r="J560" s="611"/>
    </row>
    <row r="561" spans="1:10" ht="14.5">
      <c r="A561" s="472"/>
      <c r="B561" s="455" t="s">
        <v>109</v>
      </c>
      <c r="C561" s="405">
        <v>50.057705316990067</v>
      </c>
      <c r="D561" s="405">
        <v>50.033956993531632</v>
      </c>
      <c r="E561" s="405">
        <v>50.222968656631181</v>
      </c>
      <c r="F561" s="405">
        <v>50.158872567600973</v>
      </c>
      <c r="G561" s="611"/>
      <c r="H561" s="611"/>
      <c r="I561" s="611"/>
      <c r="J561" s="611"/>
    </row>
    <row r="562" spans="1:10" ht="14.5">
      <c r="A562" s="472"/>
      <c r="B562" s="455" t="s">
        <v>110</v>
      </c>
      <c r="C562" s="405">
        <v>50.079736747496497</v>
      </c>
      <c r="D562" s="405">
        <v>50.112969478744873</v>
      </c>
      <c r="E562" s="405">
        <v>50.24058777474481</v>
      </c>
      <c r="F562" s="405">
        <v>50.073253475090347</v>
      </c>
      <c r="G562" s="611"/>
      <c r="H562" s="611"/>
      <c r="I562" s="611"/>
      <c r="J562" s="611"/>
    </row>
    <row r="563" spans="1:10" ht="14.5">
      <c r="A563" s="472"/>
      <c r="B563" s="455" t="s">
        <v>117</v>
      </c>
      <c r="C563" s="405">
        <v>50.049056278247377</v>
      </c>
      <c r="D563" s="405">
        <v>50.12630956980658</v>
      </c>
      <c r="E563" s="405">
        <v>50.101296015789913</v>
      </c>
      <c r="F563" s="405">
        <v>50.268868753688565</v>
      </c>
      <c r="G563" s="611"/>
      <c r="H563" s="611"/>
      <c r="I563" s="611"/>
      <c r="J563" s="611"/>
    </row>
    <row r="564" spans="1:10" ht="14.5">
      <c r="A564" s="472"/>
      <c r="B564" s="455" t="s">
        <v>112</v>
      </c>
      <c r="C564" s="405">
        <v>50.203782193372952</v>
      </c>
      <c r="D564" s="405">
        <v>50.131657754526849</v>
      </c>
      <c r="E564" s="405">
        <v>50.179668309063537</v>
      </c>
      <c r="F564" s="405">
        <v>50.238174965959573</v>
      </c>
      <c r="G564" s="611"/>
      <c r="H564" s="611"/>
      <c r="I564" s="611"/>
      <c r="J564" s="611"/>
    </row>
    <row r="565" spans="1:10" ht="14.5">
      <c r="A565" s="472"/>
      <c r="B565" s="455" t="s">
        <v>113</v>
      </c>
      <c r="C565" s="405">
        <v>50.090762243470778</v>
      </c>
      <c r="D565" s="405">
        <v>50.077590388154135</v>
      </c>
      <c r="E565" s="405">
        <v>50.203460750144551</v>
      </c>
      <c r="F565" s="405">
        <v>50.149035254456805</v>
      </c>
      <c r="G565" s="611"/>
      <c r="H565" s="611"/>
      <c r="I565" s="611"/>
      <c r="J565" s="611"/>
    </row>
    <row r="566" spans="1:10" ht="14.5">
      <c r="A566" s="472"/>
      <c r="B566" s="455" t="s">
        <v>114</v>
      </c>
      <c r="C566" s="405">
        <v>50.008107110865737</v>
      </c>
      <c r="D566" s="405">
        <v>50.128269907449564</v>
      </c>
      <c r="E566" s="405">
        <v>50.168680970594906</v>
      </c>
      <c r="F566" s="405">
        <v>50.10320494276511</v>
      </c>
      <c r="G566" s="611"/>
      <c r="H566" s="611"/>
      <c r="I566" s="611"/>
      <c r="J566" s="611"/>
    </row>
    <row r="567" spans="1:10" ht="14.5">
      <c r="A567" s="472"/>
      <c r="B567" s="455" t="s">
        <v>115</v>
      </c>
      <c r="C567" s="405">
        <v>50.035738013539209</v>
      </c>
      <c r="D567" s="405">
        <v>50.13149942363723</v>
      </c>
      <c r="E567" s="405">
        <v>50.172356990824227</v>
      </c>
      <c r="F567" s="405">
        <v>50.090101057283448</v>
      </c>
      <c r="G567" s="611"/>
      <c r="H567" s="611"/>
      <c r="I567" s="611"/>
      <c r="J567" s="611"/>
    </row>
    <row r="568" spans="1:10" ht="14.5">
      <c r="A568" s="473"/>
      <c r="B568" s="456" t="s">
        <v>116</v>
      </c>
      <c r="C568" s="407">
        <v>49.977993959252615</v>
      </c>
      <c r="D568" s="407">
        <v>50.121270897369676</v>
      </c>
      <c r="E568" s="407">
        <v>50.292560951429657</v>
      </c>
      <c r="F568" s="407">
        <v>50.045366731367672</v>
      </c>
      <c r="G568" s="611"/>
      <c r="H568" s="611"/>
      <c r="I568" s="611"/>
      <c r="J568" s="611"/>
    </row>
    <row r="569" spans="1:10" ht="14.5">
      <c r="A569" s="471">
        <v>2024</v>
      </c>
      <c r="B569" s="454" t="s">
        <v>105</v>
      </c>
      <c r="C569" s="403">
        <v>49.942421152321842</v>
      </c>
      <c r="D569" s="403">
        <v>50.094652350060059</v>
      </c>
      <c r="E569" s="403">
        <v>50.079288419339868</v>
      </c>
      <c r="F569" s="403">
        <v>50.128025652006997</v>
      </c>
      <c r="G569" s="611"/>
      <c r="H569" s="611"/>
      <c r="I569" s="611"/>
      <c r="J569" s="611"/>
    </row>
    <row r="570" spans="1:10" ht="14.5">
      <c r="A570" s="472"/>
      <c r="B570" s="455" t="s">
        <v>106</v>
      </c>
      <c r="C570" s="405">
        <v>50.041226211901069</v>
      </c>
      <c r="D570" s="405">
        <v>50.115535499835616</v>
      </c>
      <c r="E570" s="405">
        <v>50.145415360281781</v>
      </c>
      <c r="F570" s="405">
        <v>50.310251650023581</v>
      </c>
      <c r="G570" s="611"/>
      <c r="H570" s="611"/>
      <c r="I570" s="611"/>
      <c r="J570" s="611"/>
    </row>
    <row r="571" spans="1:10" ht="14.5">
      <c r="A571" s="472"/>
      <c r="B571" s="455" t="s">
        <v>107</v>
      </c>
      <c r="C571" s="405">
        <v>50.142880659017521</v>
      </c>
      <c r="D571" s="405">
        <v>50.105322268355557</v>
      </c>
      <c r="E571" s="405">
        <v>50.208824096434661</v>
      </c>
      <c r="F571" s="405">
        <v>50.342862157220097</v>
      </c>
      <c r="G571" s="611"/>
      <c r="H571" s="611"/>
      <c r="I571" s="611"/>
      <c r="J571" s="611"/>
    </row>
    <row r="572" spans="1:10" ht="14.5">
      <c r="A572" s="472"/>
      <c r="B572" s="455" t="s">
        <v>108</v>
      </c>
      <c r="C572" s="632">
        <v>50.034681404931618</v>
      </c>
      <c r="D572" s="632">
        <v>50.473692140770538</v>
      </c>
      <c r="E572" s="632">
        <v>49.971125589423629</v>
      </c>
      <c r="F572" s="632">
        <v>50.198317878302824</v>
      </c>
      <c r="G572" s="611"/>
      <c r="H572" s="611"/>
      <c r="I572" s="611"/>
      <c r="J572" s="611"/>
    </row>
    <row r="573" spans="1:10" ht="14.5">
      <c r="A573" s="472"/>
      <c r="B573" s="455" t="s">
        <v>109</v>
      </c>
      <c r="C573" s="405">
        <v>50.044312049257798</v>
      </c>
      <c r="D573" s="405">
        <v>50.005326054908011</v>
      </c>
      <c r="E573" s="405">
        <v>50.033265656570066</v>
      </c>
      <c r="F573" s="405">
        <v>49.892348778394407</v>
      </c>
      <c r="G573" s="611"/>
      <c r="H573" s="611"/>
      <c r="I573" s="611"/>
      <c r="J573" s="611"/>
    </row>
    <row r="574" spans="1:10" ht="14.5">
      <c r="A574" s="472"/>
      <c r="B574" s="455" t="s">
        <v>110</v>
      </c>
      <c r="C574" s="405">
        <v>50.00201925055552</v>
      </c>
      <c r="D574" s="405">
        <v>50.060332497268128</v>
      </c>
      <c r="E574" s="405">
        <v>50.020039518365266</v>
      </c>
      <c r="F574" s="405">
        <v>49.89814483723125</v>
      </c>
      <c r="G574" s="611"/>
      <c r="H574" s="611"/>
      <c r="I574" s="611"/>
      <c r="J574" s="611"/>
    </row>
    <row r="575" spans="1:10" ht="14.5">
      <c r="A575" s="472"/>
      <c r="B575" s="455" t="s">
        <v>117</v>
      </c>
      <c r="C575" s="405">
        <v>50.1</v>
      </c>
      <c r="D575" s="405">
        <v>50</v>
      </c>
      <c r="E575" s="405">
        <v>50.7</v>
      </c>
      <c r="F575" s="405">
        <v>50.7</v>
      </c>
      <c r="G575" s="611"/>
      <c r="H575" s="611"/>
      <c r="I575" s="611"/>
      <c r="J575" s="611"/>
    </row>
    <row r="576" spans="1:10" ht="14.5">
      <c r="A576" s="472"/>
      <c r="B576" s="455" t="s">
        <v>112</v>
      </c>
      <c r="C576" s="405">
        <v>49.98103285222497</v>
      </c>
      <c r="D576" s="405">
        <v>49.590517075043934</v>
      </c>
      <c r="E576" s="405">
        <v>50.018932693204</v>
      </c>
      <c r="F576" s="405">
        <v>50.272767706377891</v>
      </c>
      <c r="G576" s="611"/>
      <c r="H576" s="611"/>
      <c r="I576" s="611"/>
      <c r="J576" s="611"/>
    </row>
    <row r="577" spans="1:10" ht="14.5">
      <c r="A577" s="472"/>
      <c r="B577" s="455" t="s">
        <v>113</v>
      </c>
      <c r="C577" s="405">
        <v>50.044281071214911</v>
      </c>
      <c r="D577" s="405">
        <v>50.043716322265155</v>
      </c>
      <c r="E577" s="405">
        <v>50.039365903893206</v>
      </c>
      <c r="F577" s="405">
        <v>49.588393246739912</v>
      </c>
      <c r="G577" s="611"/>
      <c r="H577" s="611"/>
      <c r="I577" s="611"/>
      <c r="J577" s="611"/>
    </row>
    <row r="578" spans="1:10" ht="14.5">
      <c r="A578" s="472"/>
      <c r="B578" s="455" t="s">
        <v>114</v>
      </c>
      <c r="C578" s="405">
        <v>50</v>
      </c>
      <c r="D578" s="405">
        <v>50.010464873669228</v>
      </c>
      <c r="E578" s="405">
        <v>50.007344268569391</v>
      </c>
      <c r="F578" s="405">
        <v>49.9</v>
      </c>
      <c r="G578" s="611"/>
      <c r="H578" s="611"/>
      <c r="I578" s="611"/>
      <c r="J578" s="611"/>
    </row>
    <row r="579" spans="1:10" ht="14.5">
      <c r="A579" s="472"/>
      <c r="B579" s="455" t="s">
        <v>115</v>
      </c>
      <c r="C579" s="405">
        <v>50.007129237893139</v>
      </c>
      <c r="D579" s="405">
        <v>50.077383971063711</v>
      </c>
      <c r="E579" s="405">
        <v>50.035449591488458</v>
      </c>
      <c r="F579" s="405">
        <v>49.911583828452017</v>
      </c>
      <c r="G579" s="611"/>
      <c r="H579" s="611"/>
      <c r="I579" s="611"/>
      <c r="J579" s="611"/>
    </row>
    <row r="580" spans="1:10" ht="14.5">
      <c r="A580" s="473"/>
      <c r="B580" s="456" t="s">
        <v>116</v>
      </c>
      <c r="C580" s="407">
        <v>49.9</v>
      </c>
      <c r="D580" s="407">
        <v>50.1</v>
      </c>
      <c r="E580" s="407">
        <v>50</v>
      </c>
      <c r="F580" s="407">
        <v>49.8</v>
      </c>
      <c r="G580" s="611"/>
      <c r="H580" s="611"/>
      <c r="I580" s="611"/>
      <c r="J580" s="611"/>
    </row>
    <row r="581" spans="1:10" ht="14.5">
      <c r="A581" s="471">
        <v>2025</v>
      </c>
      <c r="B581" s="454" t="s">
        <v>105</v>
      </c>
      <c r="C581" s="403">
        <v>50.05728371508804</v>
      </c>
      <c r="D581" s="403">
        <v>50.001228288044693</v>
      </c>
      <c r="E581" s="403">
        <v>49.999247232508274</v>
      </c>
      <c r="F581" s="403">
        <v>49.906950926267363</v>
      </c>
      <c r="G581" s="611"/>
      <c r="H581" s="611"/>
      <c r="I581" s="611"/>
      <c r="J581" s="611"/>
    </row>
    <row r="582" spans="1:10" ht="14.5">
      <c r="A582" s="472"/>
      <c r="B582" s="455" t="s">
        <v>106</v>
      </c>
      <c r="C582" s="405">
        <v>49.916057468123903</v>
      </c>
      <c r="D582" s="405">
        <v>50.033467269438383</v>
      </c>
      <c r="E582" s="405">
        <v>50.017098629423408</v>
      </c>
      <c r="F582" s="405">
        <v>49.813667951214107</v>
      </c>
      <c r="G582" s="611"/>
      <c r="H582" s="611"/>
      <c r="I582" s="611"/>
      <c r="J582" s="611"/>
    </row>
    <row r="583" spans="1:10" ht="14.5">
      <c r="A583" s="472"/>
      <c r="B583" s="455" t="s">
        <v>107</v>
      </c>
      <c r="C583" s="405">
        <v>50.056368322946959</v>
      </c>
      <c r="D583" s="405">
        <v>50.27909309870504</v>
      </c>
      <c r="E583" s="405">
        <v>50.26794598224609</v>
      </c>
      <c r="F583" s="405">
        <v>50.184868509211086</v>
      </c>
      <c r="G583" s="611"/>
      <c r="H583" s="611"/>
      <c r="I583" s="611"/>
      <c r="J583" s="611"/>
    </row>
    <row r="584" spans="1:10" ht="14.5">
      <c r="A584" s="472"/>
      <c r="B584" s="455" t="s">
        <v>108</v>
      </c>
      <c r="C584" s="405">
        <v>49.967240317217197</v>
      </c>
      <c r="D584" s="405">
        <v>50.016758865710344</v>
      </c>
      <c r="E584" s="405">
        <v>50.029305340902816</v>
      </c>
      <c r="F584" s="405">
        <v>50.134791113387983</v>
      </c>
      <c r="G584" s="611"/>
      <c r="H584" s="611"/>
      <c r="I584" s="611"/>
      <c r="J584" s="611"/>
    </row>
    <row r="585" spans="1:10" ht="14.5">
      <c r="A585" s="472"/>
      <c r="B585" s="455" t="s">
        <v>109</v>
      </c>
      <c r="C585" s="405">
        <v>49.983343127033628</v>
      </c>
      <c r="D585" s="405">
        <v>50.051943694933584</v>
      </c>
      <c r="E585" s="405">
        <v>49.867106499072968</v>
      </c>
      <c r="F585" s="405">
        <v>49.736244598860893</v>
      </c>
      <c r="G585" s="611"/>
      <c r="H585" s="611"/>
      <c r="I585" s="611"/>
      <c r="J585" s="611"/>
    </row>
    <row r="586" spans="1:10" ht="14.5">
      <c r="A586" s="472"/>
      <c r="B586" s="455" t="s">
        <v>110</v>
      </c>
      <c r="C586" s="710">
        <v>50</v>
      </c>
      <c r="D586" s="710">
        <v>50</v>
      </c>
      <c r="E586" s="710">
        <v>50.6</v>
      </c>
      <c r="F586" s="710">
        <v>50.3</v>
      </c>
      <c r="G586" s="611"/>
      <c r="H586" s="611"/>
      <c r="I586" s="611"/>
      <c r="J586" s="611"/>
    </row>
    <row r="587" spans="1:10" ht="14.5">
      <c r="A587" s="472"/>
      <c r="B587" s="455" t="s">
        <v>117</v>
      </c>
      <c r="C587" s="710">
        <v>50.035980119500302</v>
      </c>
      <c r="D587" s="710">
        <v>50.062130222523201</v>
      </c>
      <c r="E587" s="710">
        <v>50.075671716336601</v>
      </c>
      <c r="F587" s="710">
        <v>50.264067058289399</v>
      </c>
      <c r="G587" s="611"/>
      <c r="H587" s="611"/>
      <c r="I587" s="611"/>
      <c r="J587" s="611"/>
    </row>
    <row r="588" spans="1:10" ht="14.5">
      <c r="A588" s="473"/>
      <c r="B588" s="456" t="s">
        <v>112</v>
      </c>
      <c r="C588" s="711">
        <v>49.965531507810198</v>
      </c>
      <c r="D588" s="711">
        <v>50.040817933152077</v>
      </c>
      <c r="E588" s="711">
        <v>50.035961930270602</v>
      </c>
      <c r="F588" s="711">
        <v>49.591276997492663</v>
      </c>
      <c r="G588" s="611"/>
      <c r="H588" s="611"/>
      <c r="I588" s="611"/>
      <c r="J588" s="611"/>
    </row>
    <row r="590" spans="1:10">
      <c r="A590" s="856" t="s">
        <v>118</v>
      </c>
      <c r="B590" s="856"/>
      <c r="C590" s="856"/>
      <c r="D590" s="856"/>
      <c r="E590" s="856"/>
      <c r="F590" s="856"/>
    </row>
    <row r="592" spans="1:10">
      <c r="A592" s="883" t="s">
        <v>168</v>
      </c>
      <c r="B592" s="883"/>
      <c r="C592" s="883"/>
      <c r="D592" s="883"/>
      <c r="E592" s="883"/>
      <c r="F592" s="883"/>
    </row>
  </sheetData>
  <sheetProtection formatCells="0" insertColumns="0" insertRows="0" deleteColumns="0" deleteRows="0"/>
  <mergeCells count="31">
    <mergeCell ref="A201:B202"/>
    <mergeCell ref="C201:F201"/>
    <mergeCell ref="A266:B267"/>
    <mergeCell ref="C266:F266"/>
    <mergeCell ref="A331:B332"/>
    <mergeCell ref="C331:F331"/>
    <mergeCell ref="A265:F265"/>
    <mergeCell ref="A330:F330"/>
    <mergeCell ref="A592:F592"/>
    <mergeCell ref="A525:F525"/>
    <mergeCell ref="A460:F460"/>
    <mergeCell ref="A395:F395"/>
    <mergeCell ref="A526:B527"/>
    <mergeCell ref="C526:F526"/>
    <mergeCell ref="A396:B397"/>
    <mergeCell ref="C396:F396"/>
    <mergeCell ref="A461:B462"/>
    <mergeCell ref="C461:F461"/>
    <mergeCell ref="A590:F590"/>
    <mergeCell ref="A200:F200"/>
    <mergeCell ref="A135:F135"/>
    <mergeCell ref="A70:F70"/>
    <mergeCell ref="A5:F5"/>
    <mergeCell ref="A1:F1"/>
    <mergeCell ref="A6:B7"/>
    <mergeCell ref="C6:F6"/>
    <mergeCell ref="A71:B72"/>
    <mergeCell ref="C71:F71"/>
    <mergeCell ref="A136:B137"/>
    <mergeCell ref="C136:F136"/>
    <mergeCell ref="A3:F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187"/>
  <sheetViews>
    <sheetView zoomScaleNormal="100" workbookViewId="0">
      <pane xSplit="2" ySplit="4" topLeftCell="C169" activePane="bottomRight" state="frozen"/>
      <selection pane="topRight" activeCell="G147" sqref="G147"/>
      <selection pane="bottomLeft" activeCell="G147" sqref="G147"/>
      <selection pane="bottomRight" sqref="A1:E1"/>
    </sheetView>
  </sheetViews>
  <sheetFormatPr defaultColWidth="9.1796875" defaultRowHeight="13"/>
  <cols>
    <col min="1" max="1" width="6.81640625" style="65" customWidth="1"/>
    <col min="2" max="2" width="18" style="65" customWidth="1"/>
    <col min="3" max="6" width="20.81640625" style="65" customWidth="1"/>
    <col min="7" max="7" width="9.1796875" style="65" customWidth="1"/>
    <col min="8" max="16384" width="9.1796875" style="65"/>
  </cols>
  <sheetData>
    <row r="1" spans="1:6" ht="14.25" customHeight="1">
      <c r="A1" s="716" t="s">
        <v>374</v>
      </c>
      <c r="B1" s="716"/>
      <c r="C1" s="716"/>
      <c r="D1" s="716"/>
      <c r="E1" s="716"/>
    </row>
    <row r="2" spans="1:6" ht="12.75" customHeight="1">
      <c r="A2" s="92"/>
      <c r="B2" s="92"/>
      <c r="C2" s="92"/>
      <c r="D2" s="92"/>
      <c r="E2" s="92"/>
      <c r="F2" s="92" t="s">
        <v>184</v>
      </c>
    </row>
    <row r="3" spans="1:6" ht="15" customHeight="1">
      <c r="A3" s="751" t="s">
        <v>98</v>
      </c>
      <c r="B3" s="751"/>
      <c r="C3" s="749" t="s">
        <v>375</v>
      </c>
      <c r="D3" s="749" t="s">
        <v>376</v>
      </c>
      <c r="E3" s="749" t="s">
        <v>377</v>
      </c>
      <c r="F3" s="749" t="s">
        <v>378</v>
      </c>
    </row>
    <row r="4" spans="1:6" ht="15" customHeight="1">
      <c r="A4" s="751"/>
      <c r="B4" s="751"/>
      <c r="C4" s="749"/>
      <c r="D4" s="749"/>
      <c r="E4" s="749"/>
      <c r="F4" s="749"/>
    </row>
    <row r="5" spans="1:6" ht="15" customHeight="1">
      <c r="A5" s="471">
        <v>2011</v>
      </c>
      <c r="B5" s="454" t="s">
        <v>105</v>
      </c>
      <c r="C5" s="682">
        <v>0.41860000000000003</v>
      </c>
      <c r="D5" s="683">
        <v>0.53693999999999997</v>
      </c>
      <c r="E5" s="682">
        <v>0.82111000000000001</v>
      </c>
      <c r="F5" s="684">
        <v>5.5</v>
      </c>
    </row>
    <row r="6" spans="1:6" ht="14.5">
      <c r="A6" s="472"/>
      <c r="B6" s="455" t="s">
        <v>106</v>
      </c>
      <c r="C6" s="335">
        <v>0.42080000000000001</v>
      </c>
      <c r="D6" s="336">
        <v>0.53690000000000004</v>
      </c>
      <c r="E6" s="335">
        <v>0.82110000000000005</v>
      </c>
      <c r="F6" s="337">
        <v>5.5</v>
      </c>
    </row>
    <row r="7" spans="1:6" ht="14.5">
      <c r="A7" s="472"/>
      <c r="B7" s="455" t="s">
        <v>107</v>
      </c>
      <c r="C7" s="335">
        <v>0.42520000000000002</v>
      </c>
      <c r="D7" s="336">
        <v>0.53690000000000004</v>
      </c>
      <c r="E7" s="335">
        <v>0.81440000000000001</v>
      </c>
      <c r="F7" s="337">
        <v>5.5</v>
      </c>
    </row>
    <row r="8" spans="1:6" ht="14.5">
      <c r="A8" s="472"/>
      <c r="B8" s="455" t="s">
        <v>108</v>
      </c>
      <c r="C8" s="335">
        <v>0.42860999999999999</v>
      </c>
      <c r="D8" s="336">
        <v>0.53471999999999997</v>
      </c>
      <c r="E8" s="335">
        <v>0.81330000000000002</v>
      </c>
      <c r="F8" s="337">
        <v>5.5</v>
      </c>
    </row>
    <row r="9" spans="1:6" ht="14.5">
      <c r="A9" s="472"/>
      <c r="B9" s="455" t="s">
        <v>109</v>
      </c>
      <c r="C9" s="335">
        <v>0.41830000000000001</v>
      </c>
      <c r="D9" s="336">
        <v>0.52659999999999996</v>
      </c>
      <c r="E9" s="335">
        <v>0.78400000000000003</v>
      </c>
      <c r="F9" s="337">
        <v>5.5</v>
      </c>
    </row>
    <row r="10" spans="1:6" ht="14.5">
      <c r="A10" s="472"/>
      <c r="B10" s="455" t="s">
        <v>110</v>
      </c>
      <c r="C10" s="335">
        <v>0.41799999999999998</v>
      </c>
      <c r="D10" s="336">
        <v>0.52769999999999995</v>
      </c>
      <c r="E10" s="335">
        <v>0.78300000000000003</v>
      </c>
      <c r="F10" s="337">
        <v>5.5</v>
      </c>
    </row>
    <row r="11" spans="1:6" ht="14.5">
      <c r="A11" s="472"/>
      <c r="B11" s="455" t="s">
        <v>111</v>
      </c>
      <c r="C11" s="335">
        <v>0.40720000000000001</v>
      </c>
      <c r="D11" s="336">
        <v>0.50439999999999996</v>
      </c>
      <c r="E11" s="335">
        <v>0.75880000000000003</v>
      </c>
      <c r="F11" s="337">
        <v>5.5</v>
      </c>
    </row>
    <row r="12" spans="1:6" ht="14.5">
      <c r="A12" s="472"/>
      <c r="B12" s="455" t="s">
        <v>112</v>
      </c>
      <c r="C12" s="335">
        <v>0.37387999999999999</v>
      </c>
      <c r="D12" s="336">
        <v>0.46439999999999998</v>
      </c>
      <c r="E12" s="335">
        <v>0.78159999999999996</v>
      </c>
      <c r="F12" s="337">
        <v>5.5</v>
      </c>
    </row>
    <row r="13" spans="1:6" ht="14.5">
      <c r="A13" s="472"/>
      <c r="B13" s="455" t="s">
        <v>113</v>
      </c>
      <c r="C13" s="335">
        <v>0.36830000000000002</v>
      </c>
      <c r="D13" s="336">
        <v>0.46660000000000001</v>
      </c>
      <c r="E13" s="335">
        <v>0.70555000000000001</v>
      </c>
      <c r="F13" s="337">
        <v>5.5</v>
      </c>
    </row>
    <row r="14" spans="1:6" ht="14.5">
      <c r="A14" s="472"/>
      <c r="B14" s="455" t="s">
        <v>114</v>
      </c>
      <c r="C14" s="335">
        <v>0.36054999999999998</v>
      </c>
      <c r="D14" s="336">
        <v>0.46</v>
      </c>
      <c r="E14" s="335">
        <v>0.69199999999999995</v>
      </c>
      <c r="F14" s="337">
        <v>5.5</v>
      </c>
    </row>
    <row r="15" spans="1:6" ht="14.5">
      <c r="A15" s="472"/>
      <c r="B15" s="455" t="s">
        <v>115</v>
      </c>
      <c r="C15" s="335">
        <v>0.35499999999999998</v>
      </c>
      <c r="D15" s="336">
        <v>0.45400000000000001</v>
      </c>
      <c r="E15" s="335">
        <v>0.64100000000000001</v>
      </c>
      <c r="F15" s="337">
        <v>5.5</v>
      </c>
    </row>
    <row r="16" spans="1:6" ht="14.5">
      <c r="A16" s="473"/>
      <c r="B16" s="456" t="s">
        <v>116</v>
      </c>
      <c r="C16" s="338">
        <v>0.3538</v>
      </c>
      <c r="D16" s="339">
        <v>0.45444000000000001</v>
      </c>
      <c r="E16" s="338">
        <v>0.64</v>
      </c>
      <c r="F16" s="340">
        <v>5.5</v>
      </c>
    </row>
    <row r="17" spans="1:6" ht="14.5">
      <c r="A17" s="472">
        <v>2012</v>
      </c>
      <c r="B17" s="455" t="s">
        <v>105</v>
      </c>
      <c r="C17" s="335">
        <v>0.29610999999999998</v>
      </c>
      <c r="D17" s="336">
        <v>0.39879999999999999</v>
      </c>
      <c r="E17" s="335">
        <v>0.58887999999999996</v>
      </c>
      <c r="F17" s="337">
        <v>5.5</v>
      </c>
    </row>
    <row r="18" spans="1:6" ht="14.5">
      <c r="A18" s="472"/>
      <c r="B18" s="455" t="s">
        <v>106</v>
      </c>
      <c r="C18" s="335">
        <v>0.25829999999999997</v>
      </c>
      <c r="D18" s="336">
        <v>0.35443999999999998</v>
      </c>
      <c r="E18" s="335">
        <v>0.5333</v>
      </c>
      <c r="F18" s="337">
        <v>5.5</v>
      </c>
    </row>
    <row r="19" spans="1:6" ht="14.5">
      <c r="A19" s="472"/>
      <c r="B19" s="455" t="s">
        <v>107</v>
      </c>
      <c r="C19" s="335">
        <v>0.24554999999999999</v>
      </c>
      <c r="D19" s="336">
        <v>0.34222000000000002</v>
      </c>
      <c r="E19" s="335">
        <v>0.50777000000000005</v>
      </c>
      <c r="F19" s="337">
        <v>5.5</v>
      </c>
    </row>
    <row r="20" spans="1:6" ht="14.5">
      <c r="A20" s="472"/>
      <c r="B20" s="455" t="s">
        <v>108</v>
      </c>
      <c r="C20" s="335">
        <v>0.24555555555555555</v>
      </c>
      <c r="D20" s="336">
        <v>0.3444444444444445</v>
      </c>
      <c r="E20" s="335">
        <v>0.50444444444444447</v>
      </c>
      <c r="F20" s="337">
        <v>5.5</v>
      </c>
    </row>
    <row r="21" spans="1:6" ht="14.5">
      <c r="A21" s="472"/>
      <c r="B21" s="455" t="s">
        <v>109</v>
      </c>
      <c r="C21" s="335">
        <v>0.24333333333333332</v>
      </c>
      <c r="D21" s="336">
        <v>0.3444444444444445</v>
      </c>
      <c r="E21" s="335">
        <v>0.50333333333333341</v>
      </c>
      <c r="F21" s="337">
        <v>5.5</v>
      </c>
    </row>
    <row r="22" spans="1:6" ht="14.5">
      <c r="A22" s="472"/>
      <c r="B22" s="455" t="s">
        <v>110</v>
      </c>
      <c r="C22" s="335">
        <v>0.2477</v>
      </c>
      <c r="D22" s="336">
        <v>0.35</v>
      </c>
      <c r="E22" s="335">
        <v>0.50219999999999998</v>
      </c>
      <c r="F22" s="337">
        <v>5.5</v>
      </c>
    </row>
    <row r="23" spans="1:6" ht="14.5">
      <c r="A23" s="472"/>
      <c r="B23" s="455" t="s">
        <v>111</v>
      </c>
      <c r="C23" s="335">
        <v>0.24879999999999999</v>
      </c>
      <c r="D23" s="336">
        <v>0.34777000000000002</v>
      </c>
      <c r="E23" s="335">
        <v>0.50109999999999999</v>
      </c>
      <c r="F23" s="337">
        <v>5.5</v>
      </c>
    </row>
    <row r="24" spans="1:6" ht="14.5">
      <c r="A24" s="472"/>
      <c r="B24" s="455" t="s">
        <v>112</v>
      </c>
      <c r="C24" s="335">
        <v>0.2</v>
      </c>
      <c r="D24" s="336">
        <v>0.28999999999999998</v>
      </c>
      <c r="E24" s="335">
        <v>0.44800000000000001</v>
      </c>
      <c r="F24" s="337">
        <v>5.5</v>
      </c>
    </row>
    <row r="25" spans="1:6" ht="14.5">
      <c r="A25" s="472"/>
      <c r="B25" s="455" t="s">
        <v>113</v>
      </c>
      <c r="C25" s="335">
        <v>0.1988</v>
      </c>
      <c r="D25" s="336">
        <v>0.28439999999999999</v>
      </c>
      <c r="E25" s="335">
        <v>0.443</v>
      </c>
      <c r="F25" s="337">
        <v>5.5</v>
      </c>
    </row>
    <row r="26" spans="1:6" ht="14.5">
      <c r="A26" s="472"/>
      <c r="B26" s="455" t="s">
        <v>114</v>
      </c>
      <c r="C26" s="335">
        <v>0.19769999999999999</v>
      </c>
      <c r="D26" s="336">
        <v>0.2833</v>
      </c>
      <c r="E26" s="335">
        <v>0.442</v>
      </c>
      <c r="F26" s="337">
        <v>5.5</v>
      </c>
    </row>
    <row r="27" spans="1:6" ht="14.5">
      <c r="A27" s="472"/>
      <c r="B27" s="455" t="s">
        <v>115</v>
      </c>
      <c r="C27" s="335">
        <v>0.19439999999999999</v>
      </c>
      <c r="D27" s="336">
        <v>0.27329999999999999</v>
      </c>
      <c r="E27" s="335">
        <v>0.44</v>
      </c>
      <c r="F27" s="337">
        <v>5.5</v>
      </c>
    </row>
    <row r="28" spans="1:6" ht="14.5">
      <c r="A28" s="472"/>
      <c r="B28" s="455" t="s">
        <v>116</v>
      </c>
      <c r="C28" s="335">
        <v>0.20219999999999999</v>
      </c>
      <c r="D28" s="336">
        <v>0.2833</v>
      </c>
      <c r="E28" s="335">
        <v>0.44</v>
      </c>
      <c r="F28" s="337">
        <v>5.5</v>
      </c>
    </row>
    <row r="29" spans="1:6" ht="14.5">
      <c r="A29" s="471">
        <v>2013</v>
      </c>
      <c r="B29" s="454" t="s">
        <v>105</v>
      </c>
      <c r="C29" s="352">
        <v>0.20549999999999999</v>
      </c>
      <c r="D29" s="685">
        <v>0.28333000000000003</v>
      </c>
      <c r="E29" s="352">
        <v>0.44440000000000002</v>
      </c>
      <c r="F29" s="684">
        <v>5.5</v>
      </c>
    </row>
    <row r="30" spans="1:6" ht="14.5">
      <c r="A30" s="472"/>
      <c r="B30" s="455" t="s">
        <v>106</v>
      </c>
      <c r="C30" s="341">
        <v>0.20666000000000001</v>
      </c>
      <c r="D30" s="342">
        <v>0.28444000000000003</v>
      </c>
      <c r="E30" s="341">
        <v>0.44330000000000003</v>
      </c>
      <c r="F30" s="337">
        <v>5.5</v>
      </c>
    </row>
    <row r="31" spans="1:6" ht="14.5">
      <c r="A31" s="472"/>
      <c r="B31" s="455" t="s">
        <v>107</v>
      </c>
      <c r="C31" s="341">
        <v>0.3</v>
      </c>
      <c r="D31" s="342">
        <v>0.45710000000000001</v>
      </c>
      <c r="E31" s="341">
        <v>0.75</v>
      </c>
      <c r="F31" s="337">
        <v>5.5</v>
      </c>
    </row>
    <row r="32" spans="1:6" ht="14.5">
      <c r="A32" s="472"/>
      <c r="B32" s="455" t="s">
        <v>108</v>
      </c>
      <c r="C32" s="341">
        <v>0.3</v>
      </c>
      <c r="D32" s="342">
        <v>0.45</v>
      </c>
      <c r="E32" s="341">
        <v>0.75</v>
      </c>
      <c r="F32" s="337">
        <v>5.5</v>
      </c>
    </row>
    <row r="33" spans="1:6" ht="14.5">
      <c r="A33" s="472"/>
      <c r="B33" s="455" t="s">
        <v>109</v>
      </c>
      <c r="C33" s="341">
        <v>0.3</v>
      </c>
      <c r="D33" s="342">
        <v>0.45</v>
      </c>
      <c r="E33" s="341">
        <v>0.75</v>
      </c>
      <c r="F33" s="337">
        <v>5.5</v>
      </c>
    </row>
    <row r="34" spans="1:6" ht="14.5">
      <c r="A34" s="472"/>
      <c r="B34" s="455" t="s">
        <v>110</v>
      </c>
      <c r="C34" s="341">
        <v>0.3</v>
      </c>
      <c r="D34" s="342">
        <v>0.45</v>
      </c>
      <c r="E34" s="341">
        <v>0.75</v>
      </c>
      <c r="F34" s="337">
        <v>5.5</v>
      </c>
    </row>
    <row r="35" spans="1:6" ht="14.5">
      <c r="A35" s="472"/>
      <c r="B35" s="455" t="s">
        <v>117</v>
      </c>
      <c r="C35" s="341">
        <v>0.3</v>
      </c>
      <c r="D35" s="342">
        <v>0.45</v>
      </c>
      <c r="E35" s="341">
        <v>0.75</v>
      </c>
      <c r="F35" s="337">
        <v>5.5</v>
      </c>
    </row>
    <row r="36" spans="1:6" ht="14.5">
      <c r="A36" s="472"/>
      <c r="B36" s="455" t="s">
        <v>112</v>
      </c>
      <c r="C36" s="341">
        <v>0.3</v>
      </c>
      <c r="D36" s="342">
        <v>0.45</v>
      </c>
      <c r="E36" s="341">
        <v>0.75</v>
      </c>
      <c r="F36" s="337">
        <v>5.5</v>
      </c>
    </row>
    <row r="37" spans="1:6" ht="14.5">
      <c r="A37" s="472"/>
      <c r="B37" s="455" t="s">
        <v>113</v>
      </c>
      <c r="C37" s="341">
        <v>0.3</v>
      </c>
      <c r="D37" s="342">
        <v>0.45</v>
      </c>
      <c r="E37" s="341">
        <v>0.75</v>
      </c>
      <c r="F37" s="337">
        <v>5.5</v>
      </c>
    </row>
    <row r="38" spans="1:6" ht="14.5">
      <c r="A38" s="472"/>
      <c r="B38" s="455" t="s">
        <v>114</v>
      </c>
      <c r="C38" s="341">
        <v>0.3</v>
      </c>
      <c r="D38" s="342">
        <v>0.45</v>
      </c>
      <c r="E38" s="341">
        <v>0.75</v>
      </c>
      <c r="F38" s="337">
        <v>5.5</v>
      </c>
    </row>
    <row r="39" spans="1:6" ht="14.5">
      <c r="A39" s="472"/>
      <c r="B39" s="455" t="s">
        <v>115</v>
      </c>
      <c r="C39" s="341">
        <v>0.3</v>
      </c>
      <c r="D39" s="342">
        <v>0.45</v>
      </c>
      <c r="E39" s="341">
        <v>0.75</v>
      </c>
      <c r="F39" s="337">
        <v>5.5</v>
      </c>
    </row>
    <row r="40" spans="1:6" ht="14.5">
      <c r="A40" s="473"/>
      <c r="B40" s="456" t="s">
        <v>116</v>
      </c>
      <c r="C40" s="343">
        <v>0.3</v>
      </c>
      <c r="D40" s="343">
        <v>0.45</v>
      </c>
      <c r="E40" s="343">
        <v>0.75</v>
      </c>
      <c r="F40" s="340">
        <v>5.5</v>
      </c>
    </row>
    <row r="41" spans="1:6" ht="14.5">
      <c r="A41" s="471">
        <v>2014</v>
      </c>
      <c r="B41" s="454" t="s">
        <v>105</v>
      </c>
      <c r="C41" s="341">
        <v>0.3</v>
      </c>
      <c r="D41" s="342">
        <v>0.45</v>
      </c>
      <c r="E41" s="341">
        <v>0.75</v>
      </c>
      <c r="F41" s="684">
        <v>5.5</v>
      </c>
    </row>
    <row r="42" spans="1:6" ht="14.5">
      <c r="A42" s="472"/>
      <c r="B42" s="455" t="s">
        <v>106</v>
      </c>
      <c r="C42" s="341">
        <v>0.3</v>
      </c>
      <c r="D42" s="342">
        <v>0.45</v>
      </c>
      <c r="E42" s="341">
        <v>0.75</v>
      </c>
      <c r="F42" s="337">
        <v>5.5</v>
      </c>
    </row>
    <row r="43" spans="1:6" ht="14.5">
      <c r="A43" s="472"/>
      <c r="B43" s="455" t="s">
        <v>107</v>
      </c>
      <c r="C43" s="341">
        <v>0.3</v>
      </c>
      <c r="D43" s="342">
        <v>0.45</v>
      </c>
      <c r="E43" s="341">
        <v>0.75</v>
      </c>
      <c r="F43" s="337">
        <v>5.5</v>
      </c>
    </row>
    <row r="44" spans="1:6" ht="14.5">
      <c r="A44" s="472"/>
      <c r="B44" s="455" t="s">
        <v>108</v>
      </c>
      <c r="C44" s="341">
        <v>0.3</v>
      </c>
      <c r="D44" s="342">
        <v>0.45</v>
      </c>
      <c r="E44" s="341">
        <v>0.75</v>
      </c>
      <c r="F44" s="337">
        <v>5.5</v>
      </c>
    </row>
    <row r="45" spans="1:6" ht="14.5">
      <c r="A45" s="472"/>
      <c r="B45" s="455" t="s">
        <v>109</v>
      </c>
      <c r="C45" s="341">
        <v>0.3</v>
      </c>
      <c r="D45" s="342">
        <v>0.45</v>
      </c>
      <c r="E45" s="341">
        <v>0.75</v>
      </c>
      <c r="F45" s="337">
        <v>5.5</v>
      </c>
    </row>
    <row r="46" spans="1:6" ht="14.5">
      <c r="A46" s="472"/>
      <c r="B46" s="455" t="s">
        <v>110</v>
      </c>
      <c r="C46" s="341">
        <v>0.3</v>
      </c>
      <c r="D46" s="342">
        <v>0.45</v>
      </c>
      <c r="E46" s="341">
        <v>0.75</v>
      </c>
      <c r="F46" s="337">
        <v>5.5</v>
      </c>
    </row>
    <row r="47" spans="1:6" ht="14.5">
      <c r="A47" s="472"/>
      <c r="B47" s="455" t="s">
        <v>117</v>
      </c>
      <c r="C47" s="341">
        <v>0.3</v>
      </c>
      <c r="D47" s="342">
        <v>0.45</v>
      </c>
      <c r="E47" s="341">
        <v>0.75</v>
      </c>
      <c r="F47" s="337">
        <v>5.5</v>
      </c>
    </row>
    <row r="48" spans="1:6" ht="14.5">
      <c r="A48" s="472"/>
      <c r="B48" s="455" t="s">
        <v>112</v>
      </c>
      <c r="C48" s="341">
        <v>0.3</v>
      </c>
      <c r="D48" s="342">
        <v>0.45</v>
      </c>
      <c r="E48" s="341">
        <v>0.75</v>
      </c>
      <c r="F48" s="337">
        <v>5.5</v>
      </c>
    </row>
    <row r="49" spans="1:7" ht="14.5">
      <c r="A49" s="472"/>
      <c r="B49" s="455" t="s">
        <v>113</v>
      </c>
      <c r="C49" s="341">
        <v>0.3</v>
      </c>
      <c r="D49" s="342">
        <v>0.45</v>
      </c>
      <c r="E49" s="341">
        <v>0.75</v>
      </c>
      <c r="F49" s="337">
        <v>5.5</v>
      </c>
      <c r="G49" s="75"/>
    </row>
    <row r="50" spans="1:7" ht="14.5">
      <c r="A50" s="472"/>
      <c r="B50" s="455" t="s">
        <v>114</v>
      </c>
      <c r="C50" s="341">
        <v>0.3</v>
      </c>
      <c r="D50" s="342">
        <v>0.45</v>
      </c>
      <c r="E50" s="341">
        <v>0.75</v>
      </c>
      <c r="F50" s="341">
        <v>5.5</v>
      </c>
    </row>
    <row r="51" spans="1:7" ht="14.5">
      <c r="A51" s="472"/>
      <c r="B51" s="455" t="s">
        <v>115</v>
      </c>
      <c r="C51" s="341">
        <v>0.3</v>
      </c>
      <c r="D51" s="341">
        <v>0.45</v>
      </c>
      <c r="E51" s="341">
        <v>0.75</v>
      </c>
      <c r="F51" s="341">
        <v>5.5</v>
      </c>
    </row>
    <row r="52" spans="1:7" ht="14.5">
      <c r="A52" s="473"/>
      <c r="B52" s="456" t="s">
        <v>116</v>
      </c>
      <c r="C52" s="343">
        <v>0.3</v>
      </c>
      <c r="D52" s="343">
        <v>0.45</v>
      </c>
      <c r="E52" s="343">
        <v>0.75</v>
      </c>
      <c r="F52" s="343">
        <v>5.5</v>
      </c>
    </row>
    <row r="53" spans="1:7" ht="14.5">
      <c r="A53" s="472">
        <v>2015</v>
      </c>
      <c r="B53" s="455" t="s">
        <v>105</v>
      </c>
      <c r="C53" s="341">
        <v>0.30280000000000001</v>
      </c>
      <c r="D53" s="341">
        <v>0.43833299999999997</v>
      </c>
      <c r="E53" s="341">
        <v>0.73333000000000004</v>
      </c>
      <c r="F53" s="341">
        <v>5.5</v>
      </c>
    </row>
    <row r="54" spans="1:7" ht="14.5">
      <c r="A54" s="472"/>
      <c r="B54" s="450" t="s">
        <v>106</v>
      </c>
      <c r="C54" s="341">
        <v>0.30280000000000001</v>
      </c>
      <c r="D54" s="341">
        <v>0.44829999999999998</v>
      </c>
      <c r="E54" s="341">
        <v>0.73333000000000004</v>
      </c>
      <c r="F54" s="341">
        <v>5.5</v>
      </c>
    </row>
    <row r="55" spans="1:7" ht="14.5">
      <c r="A55" s="472"/>
      <c r="B55" s="450" t="s">
        <v>107</v>
      </c>
      <c r="C55" s="341">
        <v>0.34284999999999999</v>
      </c>
      <c r="D55" s="341">
        <v>0.44833329999999999</v>
      </c>
      <c r="E55" s="341">
        <v>0.73333300000000001</v>
      </c>
      <c r="F55" s="341">
        <v>5.5</v>
      </c>
    </row>
    <row r="56" spans="1:7" ht="14.5">
      <c r="A56" s="472"/>
      <c r="B56" s="450" t="s">
        <v>108</v>
      </c>
      <c r="C56" s="341">
        <v>0.34849999999999998</v>
      </c>
      <c r="D56" s="341">
        <v>0.44829999999999998</v>
      </c>
      <c r="E56" s="341">
        <v>0.73329999999999995</v>
      </c>
      <c r="F56" s="341">
        <v>5.5</v>
      </c>
    </row>
    <row r="57" spans="1:7" ht="14.5">
      <c r="A57" s="472"/>
      <c r="B57" s="450" t="s">
        <v>109</v>
      </c>
      <c r="C57" s="341">
        <v>0.34849999999999998</v>
      </c>
      <c r="D57" s="341">
        <v>0.46500000000000002</v>
      </c>
      <c r="E57" s="341">
        <v>0.73660000000000003</v>
      </c>
      <c r="F57" s="341">
        <v>5.5</v>
      </c>
    </row>
    <row r="58" spans="1:7" ht="14.5">
      <c r="A58" s="472"/>
      <c r="B58" s="450" t="s">
        <v>110</v>
      </c>
      <c r="C58" s="341">
        <v>0.34849999999999998</v>
      </c>
      <c r="D58" s="341">
        <v>0.46500000000000002</v>
      </c>
      <c r="E58" s="341">
        <v>0.73660000000000003</v>
      </c>
      <c r="F58" s="341">
        <v>5.5</v>
      </c>
    </row>
    <row r="59" spans="1:7" ht="14.5">
      <c r="A59" s="472"/>
      <c r="B59" s="450" t="s">
        <v>117</v>
      </c>
      <c r="C59" s="341">
        <v>0.34714200000000001</v>
      </c>
      <c r="D59" s="341">
        <v>0.46829999999999999</v>
      </c>
      <c r="E59" s="341">
        <v>0.73829999999999996</v>
      </c>
      <c r="F59" s="341">
        <v>5.5</v>
      </c>
    </row>
    <row r="60" spans="1:7" ht="14.5">
      <c r="A60" s="472"/>
      <c r="B60" s="450" t="s">
        <v>112</v>
      </c>
      <c r="C60" s="341">
        <v>0.34279999999999999</v>
      </c>
      <c r="D60" s="341">
        <v>0.47</v>
      </c>
      <c r="E60" s="341">
        <v>0.73833000000000004</v>
      </c>
      <c r="F60" s="341">
        <v>5.5</v>
      </c>
    </row>
    <row r="61" spans="1:7" ht="14.5">
      <c r="A61" s="472"/>
      <c r="B61" s="450" t="s">
        <v>113</v>
      </c>
      <c r="C61" s="341">
        <v>0.32400000000000001</v>
      </c>
      <c r="D61" s="341">
        <v>0.4733</v>
      </c>
      <c r="E61" s="341">
        <v>0.73499999999999999</v>
      </c>
      <c r="F61" s="341">
        <v>5.5</v>
      </c>
    </row>
    <row r="62" spans="1:7" ht="14.5">
      <c r="A62" s="472"/>
      <c r="B62" s="450" t="s">
        <v>114</v>
      </c>
      <c r="C62" s="341">
        <v>0.36570000000000003</v>
      </c>
      <c r="D62" s="341">
        <v>0.4733</v>
      </c>
      <c r="E62" s="341">
        <v>0.72665999999999997</v>
      </c>
      <c r="F62" s="341">
        <v>5.5</v>
      </c>
    </row>
    <row r="63" spans="1:7" ht="14.5">
      <c r="A63" s="472"/>
      <c r="B63" s="450" t="s">
        <v>115</v>
      </c>
      <c r="C63" s="341">
        <v>0.36570000000000003</v>
      </c>
      <c r="D63" s="341">
        <v>0.4733</v>
      </c>
      <c r="E63" s="341">
        <v>0.72665999999999997</v>
      </c>
      <c r="F63" s="341">
        <v>5.5</v>
      </c>
    </row>
    <row r="64" spans="1:7" ht="14.5">
      <c r="A64" s="472"/>
      <c r="B64" s="450" t="s">
        <v>116</v>
      </c>
      <c r="C64" s="341">
        <v>0.28999999999999998</v>
      </c>
      <c r="D64" s="341">
        <v>0.45284999999999997</v>
      </c>
      <c r="E64" s="341">
        <v>0.75333000000000006</v>
      </c>
      <c r="F64" s="341">
        <v>5.5</v>
      </c>
    </row>
    <row r="65" spans="1:7" ht="14.5">
      <c r="A65" s="471">
        <v>2016</v>
      </c>
      <c r="B65" s="454" t="s">
        <v>105</v>
      </c>
      <c r="C65" s="352">
        <v>0.28999999999999998</v>
      </c>
      <c r="D65" s="685">
        <v>0.45284999999999997</v>
      </c>
      <c r="E65" s="352">
        <v>0.75532999999999995</v>
      </c>
      <c r="F65" s="684">
        <v>5.5</v>
      </c>
      <c r="G65" s="75"/>
    </row>
    <row r="66" spans="1:7" ht="14.5">
      <c r="A66" s="472"/>
      <c r="B66" s="455" t="s">
        <v>106</v>
      </c>
      <c r="C66" s="341">
        <v>0.29199999999999998</v>
      </c>
      <c r="D66" s="342">
        <v>0.45200000000000001</v>
      </c>
      <c r="E66" s="341">
        <v>0.75600000000000001</v>
      </c>
      <c r="F66" s="337">
        <v>5.5</v>
      </c>
      <c r="G66" s="75"/>
    </row>
    <row r="67" spans="1:7" ht="14.5">
      <c r="A67" s="472"/>
      <c r="B67" s="455" t="s">
        <v>107</v>
      </c>
      <c r="C67" s="341">
        <v>0.35570000000000002</v>
      </c>
      <c r="D67" s="342">
        <v>0.47</v>
      </c>
      <c r="E67" s="341">
        <v>0.75666599999999995</v>
      </c>
      <c r="F67" s="337">
        <v>5.5</v>
      </c>
      <c r="G67" s="75"/>
    </row>
    <row r="68" spans="1:7" ht="14.5">
      <c r="A68" s="472"/>
      <c r="B68" s="455" t="s">
        <v>108</v>
      </c>
      <c r="C68" s="341">
        <v>0.35714200000000002</v>
      </c>
      <c r="D68" s="342">
        <v>0.47857</v>
      </c>
      <c r="E68" s="341">
        <v>0.75666</v>
      </c>
      <c r="F68" s="337">
        <v>5.5</v>
      </c>
      <c r="G68" s="75"/>
    </row>
    <row r="69" spans="1:7" ht="14.5">
      <c r="A69" s="472"/>
      <c r="B69" s="455" t="s">
        <v>109</v>
      </c>
      <c r="C69" s="341">
        <v>0.3781428</v>
      </c>
      <c r="D69" s="342">
        <v>0.47799999999999998</v>
      </c>
      <c r="E69" s="341">
        <v>0.754</v>
      </c>
      <c r="F69" s="337">
        <v>5.5</v>
      </c>
      <c r="G69" s="75"/>
    </row>
    <row r="70" spans="1:7" ht="14.5">
      <c r="A70" s="472"/>
      <c r="B70" s="455" t="s">
        <v>110</v>
      </c>
      <c r="C70" s="341">
        <v>0.41699999999999998</v>
      </c>
      <c r="D70" s="342">
        <v>0.47599999999999998</v>
      </c>
      <c r="E70" s="341">
        <v>0.755</v>
      </c>
      <c r="F70" s="337">
        <v>5.5</v>
      </c>
      <c r="G70" s="75"/>
    </row>
    <row r="71" spans="1:7" ht="14.5">
      <c r="A71" s="472"/>
      <c r="B71" s="455" t="s">
        <v>117</v>
      </c>
      <c r="C71" s="341">
        <v>0.35499999999999998</v>
      </c>
      <c r="D71" s="342">
        <v>0.47599999999999998</v>
      </c>
      <c r="E71" s="341">
        <v>0.75600000000000001</v>
      </c>
      <c r="F71" s="337">
        <v>5.5</v>
      </c>
      <c r="G71" s="75"/>
    </row>
    <row r="72" spans="1:7" ht="14.5">
      <c r="A72" s="472"/>
      <c r="B72" s="455" t="s">
        <v>112</v>
      </c>
      <c r="C72" s="341">
        <v>0.33500000000000002</v>
      </c>
      <c r="D72" s="342">
        <v>0.49</v>
      </c>
      <c r="E72" s="341">
        <v>0.755</v>
      </c>
      <c r="F72" s="337">
        <v>5.5</v>
      </c>
      <c r="G72" s="75"/>
    </row>
    <row r="73" spans="1:7" ht="14.5">
      <c r="A73" s="472"/>
      <c r="B73" s="455" t="s">
        <v>113</v>
      </c>
      <c r="C73" s="341">
        <v>0.33700000000000002</v>
      </c>
      <c r="D73" s="342">
        <v>0.48799999999999999</v>
      </c>
      <c r="E73" s="341">
        <v>0.753</v>
      </c>
      <c r="F73" s="337">
        <v>5.5</v>
      </c>
      <c r="G73" s="75"/>
    </row>
    <row r="74" spans="1:7" ht="14.5">
      <c r="A74" s="472"/>
      <c r="B74" s="455" t="s">
        <v>114</v>
      </c>
      <c r="C74" s="341">
        <v>0.33300000000000002</v>
      </c>
      <c r="D74" s="342">
        <v>0.48699999999999999</v>
      </c>
      <c r="E74" s="341">
        <v>0.753</v>
      </c>
      <c r="F74" s="337">
        <v>5.5</v>
      </c>
      <c r="G74" s="75"/>
    </row>
    <row r="75" spans="1:7" ht="14.5">
      <c r="A75" s="472"/>
      <c r="B75" s="455" t="s">
        <v>115</v>
      </c>
      <c r="C75" s="341">
        <v>0.33700000000000002</v>
      </c>
      <c r="D75" s="342">
        <v>0.48499999999999999</v>
      </c>
      <c r="E75" s="341">
        <v>0.72098333333333331</v>
      </c>
      <c r="F75" s="337">
        <v>5.5</v>
      </c>
      <c r="G75" s="75"/>
    </row>
    <row r="76" spans="1:7" ht="14.5">
      <c r="A76" s="473"/>
      <c r="B76" s="456" t="s">
        <v>116</v>
      </c>
      <c r="C76" s="343">
        <v>0.307</v>
      </c>
      <c r="D76" s="344">
        <v>0.48499999999999999</v>
      </c>
      <c r="E76" s="343">
        <v>0.72399999999999998</v>
      </c>
      <c r="F76" s="343">
        <v>5.5</v>
      </c>
      <c r="G76" s="75"/>
    </row>
    <row r="77" spans="1:7" ht="14.5">
      <c r="A77" s="471">
        <v>2017</v>
      </c>
      <c r="B77" s="454" t="s">
        <v>105</v>
      </c>
      <c r="C77" s="350">
        <v>0.30399999999999999</v>
      </c>
      <c r="D77" s="349">
        <v>0.48</v>
      </c>
      <c r="E77" s="350">
        <v>0.72799999999999998</v>
      </c>
      <c r="F77" s="349">
        <v>5.5</v>
      </c>
      <c r="G77" s="75"/>
    </row>
    <row r="78" spans="1:7" ht="14.5">
      <c r="A78" s="472"/>
      <c r="B78" s="455" t="s">
        <v>106</v>
      </c>
      <c r="C78" s="345">
        <v>0.30399999999999999</v>
      </c>
      <c r="D78" s="345">
        <v>0.44600000000000001</v>
      </c>
      <c r="E78" s="346">
        <v>0.72599999999999998</v>
      </c>
      <c r="F78" s="337">
        <v>5.5</v>
      </c>
      <c r="G78" s="75"/>
    </row>
    <row r="79" spans="1:7" ht="14.5">
      <c r="A79" s="472"/>
      <c r="B79" s="455" t="s">
        <v>107</v>
      </c>
      <c r="C79" s="345">
        <v>0.29899999999999999</v>
      </c>
      <c r="D79" s="345">
        <v>0.44600000000000001</v>
      </c>
      <c r="E79" s="346">
        <v>0.72899999999999998</v>
      </c>
      <c r="F79" s="337">
        <v>5.5</v>
      </c>
      <c r="G79" s="75"/>
    </row>
    <row r="80" spans="1:7" ht="14.5">
      <c r="A80" s="472"/>
      <c r="B80" s="455" t="s">
        <v>108</v>
      </c>
      <c r="C80" s="345">
        <v>0.29899999999999999</v>
      </c>
      <c r="D80" s="345">
        <v>0.44700000000000001</v>
      </c>
      <c r="E80" s="346">
        <v>0.72799999999999998</v>
      </c>
      <c r="F80" s="337">
        <v>5.5</v>
      </c>
      <c r="G80" s="75"/>
    </row>
    <row r="81" spans="1:7" ht="14.5">
      <c r="A81" s="472"/>
      <c r="B81" s="455" t="s">
        <v>109</v>
      </c>
      <c r="C81" s="345">
        <v>0.29899999999999999</v>
      </c>
      <c r="D81" s="345">
        <v>0.44500000000000001</v>
      </c>
      <c r="E81" s="346">
        <v>0.72799999999999998</v>
      </c>
      <c r="F81" s="337">
        <v>5.5</v>
      </c>
      <c r="G81" s="75"/>
    </row>
    <row r="82" spans="1:7" ht="14.5">
      <c r="A82" s="472"/>
      <c r="B82" s="455" t="s">
        <v>110</v>
      </c>
      <c r="C82" s="345">
        <v>0.35599999999999998</v>
      </c>
      <c r="D82" s="345">
        <v>0.44600000000000001</v>
      </c>
      <c r="E82" s="346">
        <v>0.72799999999999998</v>
      </c>
      <c r="F82" s="341">
        <v>5.5</v>
      </c>
      <c r="G82" s="75"/>
    </row>
    <row r="83" spans="1:7" ht="14.5">
      <c r="A83" s="472"/>
      <c r="B83" s="455" t="s">
        <v>117</v>
      </c>
      <c r="C83" s="345">
        <v>0.35599999999999998</v>
      </c>
      <c r="D83" s="345">
        <v>0.44600000000000001</v>
      </c>
      <c r="E83" s="346">
        <v>0.72699999999999998</v>
      </c>
      <c r="F83" s="337">
        <v>5.5</v>
      </c>
      <c r="G83" s="75"/>
    </row>
    <row r="84" spans="1:7" ht="14.5">
      <c r="A84" s="472"/>
      <c r="B84" s="455" t="s">
        <v>112</v>
      </c>
      <c r="C84" s="345">
        <v>0.36299999999999999</v>
      </c>
      <c r="D84" s="345">
        <v>0.44600000000000001</v>
      </c>
      <c r="E84" s="346">
        <v>0.72699999999999998</v>
      </c>
      <c r="F84" s="341">
        <v>5.5</v>
      </c>
      <c r="G84" s="75"/>
    </row>
    <row r="85" spans="1:7" ht="14.5">
      <c r="A85" s="472"/>
      <c r="B85" s="455" t="s">
        <v>113</v>
      </c>
      <c r="C85" s="345">
        <v>0.30499999999999999</v>
      </c>
      <c r="D85" s="345">
        <v>0.44800000000000001</v>
      </c>
      <c r="E85" s="346">
        <v>0.72799999999999998</v>
      </c>
      <c r="F85" s="341">
        <v>5.5</v>
      </c>
      <c r="G85" s="75"/>
    </row>
    <row r="86" spans="1:7" ht="14.5">
      <c r="A86" s="472"/>
      <c r="B86" s="455" t="s">
        <v>114</v>
      </c>
      <c r="C86" s="345">
        <v>0.30499999999999999</v>
      </c>
      <c r="D86" s="345">
        <v>0.45</v>
      </c>
      <c r="E86" s="345">
        <v>0.73</v>
      </c>
      <c r="F86" s="337">
        <v>5.5</v>
      </c>
      <c r="G86" s="75"/>
    </row>
    <row r="87" spans="1:7" ht="14.5">
      <c r="A87" s="472"/>
      <c r="B87" s="455" t="s">
        <v>115</v>
      </c>
      <c r="C87" s="345">
        <v>0.30499999999999999</v>
      </c>
      <c r="D87" s="345">
        <v>0.45374999999999999</v>
      </c>
      <c r="E87" s="345">
        <v>0.73856999999999995</v>
      </c>
      <c r="F87" s="341">
        <v>5.5</v>
      </c>
      <c r="G87" s="75"/>
    </row>
    <row r="88" spans="1:7" ht="14.5">
      <c r="A88" s="473"/>
      <c r="B88" s="452" t="s">
        <v>116</v>
      </c>
      <c r="C88" s="347">
        <v>0.29099999999999998</v>
      </c>
      <c r="D88" s="347">
        <v>0.436</v>
      </c>
      <c r="E88" s="348">
        <v>0.70299999999999996</v>
      </c>
      <c r="F88" s="343">
        <v>5.5</v>
      </c>
      <c r="G88" s="75"/>
    </row>
    <row r="89" spans="1:7" ht="14.5">
      <c r="A89" s="471">
        <v>2018</v>
      </c>
      <c r="B89" s="454" t="s">
        <v>105</v>
      </c>
      <c r="C89" s="349">
        <v>0.29099999999999998</v>
      </c>
      <c r="D89" s="349">
        <v>0.436</v>
      </c>
      <c r="E89" s="350">
        <v>0.70099999999999996</v>
      </c>
      <c r="F89" s="349">
        <v>5.5</v>
      </c>
      <c r="G89" s="75"/>
    </row>
    <row r="90" spans="1:7" ht="14.5">
      <c r="A90" s="472"/>
      <c r="B90" s="455" t="s">
        <v>106</v>
      </c>
      <c r="C90" s="345">
        <v>0.29099999999999998</v>
      </c>
      <c r="D90" s="345">
        <v>0.436</v>
      </c>
      <c r="E90" s="346">
        <v>0.70199999999999996</v>
      </c>
      <c r="F90" s="337">
        <v>5.5</v>
      </c>
      <c r="G90" s="75"/>
    </row>
    <row r="91" spans="1:7" ht="14.5">
      <c r="A91" s="472"/>
      <c r="B91" s="455" t="s">
        <v>107</v>
      </c>
      <c r="C91" s="345">
        <v>0.28899999999999998</v>
      </c>
      <c r="D91" s="345">
        <v>0.436</v>
      </c>
      <c r="E91" s="346">
        <v>0.70199999999999996</v>
      </c>
      <c r="F91" s="337">
        <v>5.5</v>
      </c>
      <c r="G91" s="75"/>
    </row>
    <row r="92" spans="1:7" ht="14.5">
      <c r="A92" s="472"/>
      <c r="B92" s="455" t="s">
        <v>108</v>
      </c>
      <c r="C92" s="345">
        <v>0.30599999999999999</v>
      </c>
      <c r="D92" s="345">
        <v>0.434</v>
      </c>
      <c r="E92" s="346">
        <v>0.70399999999999996</v>
      </c>
      <c r="F92" s="337">
        <v>5.5</v>
      </c>
      <c r="G92" s="75"/>
    </row>
    <row r="93" spans="1:7" ht="14.5">
      <c r="A93" s="472"/>
      <c r="B93" s="455" t="s">
        <v>109</v>
      </c>
      <c r="C93" s="345">
        <v>0.30599999999999999</v>
      </c>
      <c r="D93" s="345">
        <v>0.42899999999999999</v>
      </c>
      <c r="E93" s="346">
        <v>0.70399999999999996</v>
      </c>
      <c r="F93" s="337">
        <v>5.5</v>
      </c>
      <c r="G93" s="75"/>
    </row>
    <row r="94" spans="1:7" ht="14.5">
      <c r="A94" s="472"/>
      <c r="B94" s="455" t="s">
        <v>110</v>
      </c>
      <c r="C94" s="351">
        <v>0.29199999999999998</v>
      </c>
      <c r="D94" s="345">
        <v>0.42799999999999999</v>
      </c>
      <c r="E94" s="345">
        <v>0.71</v>
      </c>
      <c r="F94" s="337">
        <v>5.5</v>
      </c>
      <c r="G94" s="75"/>
    </row>
    <row r="95" spans="1:7" ht="14.5">
      <c r="A95" s="472"/>
      <c r="B95" s="455" t="s">
        <v>117</v>
      </c>
      <c r="C95" s="345">
        <v>0.29199999999999998</v>
      </c>
      <c r="D95" s="345">
        <v>0.42799999999999999</v>
      </c>
      <c r="E95" s="345">
        <v>0.71299999999999997</v>
      </c>
      <c r="F95" s="337">
        <v>5.5</v>
      </c>
      <c r="G95" s="75"/>
    </row>
    <row r="96" spans="1:7" ht="14.5">
      <c r="A96" s="472"/>
      <c r="B96" s="455" t="s">
        <v>112</v>
      </c>
      <c r="C96" s="345">
        <v>0.29399999999999998</v>
      </c>
      <c r="D96" s="345">
        <v>0.42799999999999999</v>
      </c>
      <c r="E96" s="345">
        <v>0.71799999999999997</v>
      </c>
      <c r="F96" s="337">
        <v>5.5</v>
      </c>
      <c r="G96" s="75"/>
    </row>
    <row r="97" spans="1:7" ht="14.5">
      <c r="A97" s="472"/>
      <c r="B97" s="455" t="s">
        <v>113</v>
      </c>
      <c r="C97" s="345">
        <v>0.3</v>
      </c>
      <c r="D97" s="345">
        <v>0.43</v>
      </c>
      <c r="E97" s="345">
        <v>0.749</v>
      </c>
      <c r="F97" s="337">
        <v>5.5</v>
      </c>
      <c r="G97" s="75"/>
    </row>
    <row r="98" spans="1:7" ht="14.5">
      <c r="A98" s="472"/>
      <c r="B98" s="455" t="s">
        <v>114</v>
      </c>
      <c r="C98" s="345">
        <v>0.36399999999999999</v>
      </c>
      <c r="D98" s="345">
        <v>0.438</v>
      </c>
      <c r="E98" s="345">
        <v>0.75900000000000001</v>
      </c>
      <c r="F98" s="337">
        <v>5.5</v>
      </c>
      <c r="G98" s="75"/>
    </row>
    <row r="99" spans="1:7" ht="14.5">
      <c r="A99" s="472"/>
      <c r="B99" s="455" t="s">
        <v>115</v>
      </c>
      <c r="C99" s="345">
        <v>0.374</v>
      </c>
      <c r="D99" s="345">
        <v>0.439</v>
      </c>
      <c r="E99" s="345">
        <v>0.76100000000000001</v>
      </c>
      <c r="F99" s="337">
        <v>5.5</v>
      </c>
      <c r="G99" s="75"/>
    </row>
    <row r="100" spans="1:7" ht="14.5">
      <c r="A100" s="473"/>
      <c r="B100" s="456" t="s">
        <v>116</v>
      </c>
      <c r="C100" s="347">
        <v>0.34699999999999998</v>
      </c>
      <c r="D100" s="347">
        <v>0.439</v>
      </c>
      <c r="E100" s="347">
        <v>0.77300000000000002</v>
      </c>
      <c r="F100" s="343">
        <v>5.5</v>
      </c>
      <c r="G100" s="75"/>
    </row>
    <row r="101" spans="1:7" ht="14.5">
      <c r="A101" s="471">
        <v>2019</v>
      </c>
      <c r="B101" s="453" t="s">
        <v>105</v>
      </c>
      <c r="C101" s="349">
        <v>0.32</v>
      </c>
      <c r="D101" s="349">
        <v>0.439</v>
      </c>
      <c r="E101" s="349">
        <v>0.77600000000000002</v>
      </c>
      <c r="F101" s="352">
        <v>5.5</v>
      </c>
      <c r="G101" s="75"/>
    </row>
    <row r="102" spans="1:7" ht="14.5">
      <c r="A102" s="472"/>
      <c r="B102" s="450" t="s">
        <v>106</v>
      </c>
      <c r="C102" s="345">
        <v>0.32800000000000001</v>
      </c>
      <c r="D102" s="345">
        <v>0.44400000000000001</v>
      </c>
      <c r="E102" s="345">
        <v>0.79700000000000004</v>
      </c>
      <c r="F102" s="341">
        <v>5.5</v>
      </c>
      <c r="G102" s="75"/>
    </row>
    <row r="103" spans="1:7" ht="14.5">
      <c r="A103" s="472"/>
      <c r="B103" s="450" t="s">
        <v>107</v>
      </c>
      <c r="C103" s="345">
        <v>0.32900000000000001</v>
      </c>
      <c r="D103" s="345">
        <v>0.44700000000000001</v>
      </c>
      <c r="E103" s="345">
        <v>0.79700000000000004</v>
      </c>
      <c r="F103" s="341">
        <v>5.5</v>
      </c>
      <c r="G103" s="75"/>
    </row>
    <row r="104" spans="1:7" ht="14.5">
      <c r="A104" s="472"/>
      <c r="B104" s="450" t="s">
        <v>108</v>
      </c>
      <c r="C104" s="345">
        <v>0.34399999999999997</v>
      </c>
      <c r="D104" s="345">
        <v>0.46</v>
      </c>
      <c r="E104" s="345">
        <v>0.80700000000000005</v>
      </c>
      <c r="F104" s="341">
        <v>5.5</v>
      </c>
      <c r="G104" s="75"/>
    </row>
    <row r="105" spans="1:7" ht="14.5">
      <c r="A105" s="472"/>
      <c r="B105" s="450" t="s">
        <v>109</v>
      </c>
      <c r="C105" s="345">
        <v>0.38600000000000001</v>
      </c>
      <c r="D105" s="345">
        <v>0.46899999999999997</v>
      </c>
      <c r="E105" s="345">
        <v>0.80900000000000005</v>
      </c>
      <c r="F105" s="341">
        <v>5.5</v>
      </c>
      <c r="G105" s="75"/>
    </row>
    <row r="106" spans="1:7" ht="14.5">
      <c r="A106" s="472"/>
      <c r="B106" s="450" t="s">
        <v>110</v>
      </c>
      <c r="C106" s="345">
        <v>0.38600000000000001</v>
      </c>
      <c r="D106" s="345">
        <v>0.49199999999999999</v>
      </c>
      <c r="E106" s="345">
        <v>0.81200000000000006</v>
      </c>
      <c r="F106" s="341">
        <v>5.5</v>
      </c>
      <c r="G106" s="75"/>
    </row>
    <row r="107" spans="1:7" ht="14.5">
      <c r="A107" s="472"/>
      <c r="B107" s="450" t="s">
        <v>117</v>
      </c>
      <c r="C107" s="345">
        <v>0.38600000000000001</v>
      </c>
      <c r="D107" s="345">
        <v>0.49399999999999999</v>
      </c>
      <c r="E107" s="345">
        <v>0.81299999999999994</v>
      </c>
      <c r="F107" s="341">
        <v>5.5</v>
      </c>
      <c r="G107" s="75"/>
    </row>
    <row r="108" spans="1:7" ht="14.5">
      <c r="A108" s="472"/>
      <c r="B108" s="450" t="s">
        <v>112</v>
      </c>
      <c r="C108" s="345">
        <v>0.41199999999999998</v>
      </c>
      <c r="D108" s="345">
        <v>0.49199999999999999</v>
      </c>
      <c r="E108" s="345">
        <v>0.81299999999999994</v>
      </c>
      <c r="F108" s="341">
        <v>5.5</v>
      </c>
      <c r="G108" s="75"/>
    </row>
    <row r="109" spans="1:7" ht="14.5">
      <c r="A109" s="472"/>
      <c r="B109" s="450" t="s">
        <v>113</v>
      </c>
      <c r="C109" s="345">
        <v>0.41399999999999998</v>
      </c>
      <c r="D109" s="345">
        <v>0.49099999999999999</v>
      </c>
      <c r="E109" s="345">
        <v>0.80500000000000005</v>
      </c>
      <c r="F109" s="341">
        <v>5.5</v>
      </c>
      <c r="G109" s="75"/>
    </row>
    <row r="110" spans="1:7" ht="14.5">
      <c r="A110" s="472"/>
      <c r="B110" s="450" t="s">
        <v>114</v>
      </c>
      <c r="C110" s="345">
        <v>0.41299999999999998</v>
      </c>
      <c r="D110" s="345">
        <v>0.47499999999999998</v>
      </c>
      <c r="E110" s="345">
        <v>0.80500000000000005</v>
      </c>
      <c r="F110" s="341">
        <v>5.5</v>
      </c>
      <c r="G110" s="75"/>
    </row>
    <row r="111" spans="1:7" ht="14.5">
      <c r="A111" s="472"/>
      <c r="B111" s="450" t="s">
        <v>115</v>
      </c>
      <c r="C111" s="345">
        <v>0.35199999999999998</v>
      </c>
      <c r="D111" s="345">
        <v>0.46899999999999997</v>
      </c>
      <c r="E111" s="345">
        <v>0.80300000000000005</v>
      </c>
      <c r="F111" s="341">
        <v>5.5</v>
      </c>
      <c r="G111" s="75"/>
    </row>
    <row r="112" spans="1:7" ht="14.5">
      <c r="A112" s="473"/>
      <c r="B112" s="452" t="s">
        <v>116</v>
      </c>
      <c r="C112" s="347">
        <v>0.34300000000000003</v>
      </c>
      <c r="D112" s="347">
        <v>0.46500000000000002</v>
      </c>
      <c r="E112" s="347">
        <v>0.79800000000000004</v>
      </c>
      <c r="F112" s="343">
        <v>5.5</v>
      </c>
      <c r="G112" s="75"/>
    </row>
    <row r="113" spans="1:7" ht="14.5">
      <c r="A113" s="471">
        <v>2020</v>
      </c>
      <c r="B113" s="454" t="s">
        <v>105</v>
      </c>
      <c r="C113" s="353">
        <v>0.34300000000000003</v>
      </c>
      <c r="D113" s="349">
        <v>0.436</v>
      </c>
      <c r="E113" s="354">
        <v>0.79500000000000004</v>
      </c>
      <c r="F113" s="352">
        <v>5.5</v>
      </c>
      <c r="G113" s="75"/>
    </row>
    <row r="114" spans="1:7" ht="14.5">
      <c r="A114" s="472"/>
      <c r="B114" s="455" t="s">
        <v>106</v>
      </c>
      <c r="C114" s="351">
        <v>0.34300000000000003</v>
      </c>
      <c r="D114" s="345">
        <v>0.436</v>
      </c>
      <c r="E114" s="355">
        <v>0.78100000000000003</v>
      </c>
      <c r="F114" s="341">
        <v>5.5</v>
      </c>
      <c r="G114" s="75"/>
    </row>
    <row r="115" spans="1:7" ht="14.5">
      <c r="A115" s="472"/>
      <c r="B115" s="455" t="s">
        <v>107</v>
      </c>
      <c r="C115" s="356">
        <v>0.33900000000000002</v>
      </c>
      <c r="D115" s="357">
        <v>0.435</v>
      </c>
      <c r="E115" s="358">
        <v>0.77100000000000002</v>
      </c>
      <c r="F115" s="341">
        <v>5.5</v>
      </c>
      <c r="G115" s="75"/>
    </row>
    <row r="116" spans="1:7" ht="14.5">
      <c r="A116" s="472"/>
      <c r="B116" s="455" t="s">
        <v>108</v>
      </c>
      <c r="C116" s="351">
        <v>0.311</v>
      </c>
      <c r="D116" s="345">
        <v>0.39600000000000002</v>
      </c>
      <c r="E116" s="355">
        <v>0.62</v>
      </c>
      <c r="F116" s="341">
        <v>5.5</v>
      </c>
      <c r="G116" s="75"/>
    </row>
    <row r="117" spans="1:7" ht="14.5">
      <c r="A117" s="472"/>
      <c r="B117" s="455" t="s">
        <v>109</v>
      </c>
      <c r="C117" s="351">
        <v>0.251</v>
      </c>
      <c r="D117" s="345">
        <v>0.372</v>
      </c>
      <c r="E117" s="355">
        <v>0.51</v>
      </c>
      <c r="F117" s="341">
        <v>5.5</v>
      </c>
      <c r="G117" s="75"/>
    </row>
    <row r="118" spans="1:7" ht="14.5">
      <c r="A118" s="472"/>
      <c r="B118" s="455" t="s">
        <v>110</v>
      </c>
      <c r="C118" s="351">
        <v>0.24199999999999999</v>
      </c>
      <c r="D118" s="345">
        <v>0.36899999999999999</v>
      </c>
      <c r="E118" s="351">
        <v>0.47199999999999998</v>
      </c>
      <c r="F118" s="341">
        <v>5.5</v>
      </c>
      <c r="G118" s="75"/>
    </row>
    <row r="119" spans="1:7" ht="14.5">
      <c r="A119" s="472"/>
      <c r="B119" s="455" t="s">
        <v>117</v>
      </c>
      <c r="C119" s="351">
        <v>0.17599999999999999</v>
      </c>
      <c r="D119" s="345">
        <v>0.28299999999999997</v>
      </c>
      <c r="E119" s="355">
        <v>0.40400000000000003</v>
      </c>
      <c r="F119" s="341">
        <v>5.5</v>
      </c>
      <c r="G119" s="75"/>
    </row>
    <row r="120" spans="1:7" ht="14.5">
      <c r="A120" s="472"/>
      <c r="B120" s="455" t="s">
        <v>112</v>
      </c>
      <c r="C120" s="351">
        <v>0.161</v>
      </c>
      <c r="D120" s="345">
        <v>0.27200000000000002</v>
      </c>
      <c r="E120" s="355">
        <v>0.41299999999999998</v>
      </c>
      <c r="F120" s="341">
        <v>5.5</v>
      </c>
      <c r="G120" s="75"/>
    </row>
    <row r="121" spans="1:7" ht="14.5">
      <c r="A121" s="472"/>
      <c r="B121" s="455" t="s">
        <v>113</v>
      </c>
      <c r="C121" s="345">
        <v>0.14799999999999999</v>
      </c>
      <c r="D121" s="345">
        <v>0.25</v>
      </c>
      <c r="E121" s="345">
        <v>0.313</v>
      </c>
      <c r="F121" s="341">
        <v>5.5</v>
      </c>
      <c r="G121" s="75"/>
    </row>
    <row r="122" spans="1:7" ht="14.5">
      <c r="A122" s="472"/>
      <c r="B122" s="455" t="s">
        <v>114</v>
      </c>
      <c r="C122" s="345">
        <v>0.14799999999999999</v>
      </c>
      <c r="D122" s="345">
        <v>0.23599999999999999</v>
      </c>
      <c r="E122" s="345">
        <v>0.309</v>
      </c>
      <c r="F122" s="341">
        <v>5.5</v>
      </c>
      <c r="G122" s="75"/>
    </row>
    <row r="123" spans="1:7" ht="14.5">
      <c r="A123" s="472"/>
      <c r="B123" s="455" t="s">
        <v>115</v>
      </c>
      <c r="C123" s="355">
        <v>0.14899999999999999</v>
      </c>
      <c r="D123" s="345">
        <v>0.23100000000000001</v>
      </c>
      <c r="E123" s="345">
        <v>0.30199999999999999</v>
      </c>
      <c r="F123" s="341">
        <v>5.5</v>
      </c>
      <c r="G123" s="75"/>
    </row>
    <row r="124" spans="1:7" ht="14.5">
      <c r="A124" s="473"/>
      <c r="B124" s="456" t="s">
        <v>116</v>
      </c>
      <c r="C124" s="381">
        <v>0.14899999999999999</v>
      </c>
      <c r="D124" s="347">
        <v>0.23100000000000001</v>
      </c>
      <c r="E124" s="347">
        <v>0.29399999999999998</v>
      </c>
      <c r="F124" s="343">
        <v>5.5</v>
      </c>
      <c r="G124" s="75"/>
    </row>
    <row r="125" spans="1:7" ht="14.5">
      <c r="A125" s="471">
        <v>2021</v>
      </c>
      <c r="B125" s="454" t="s">
        <v>105</v>
      </c>
      <c r="C125" s="349">
        <v>0.13600000000000001</v>
      </c>
      <c r="D125" s="349">
        <v>0.23100000000000001</v>
      </c>
      <c r="E125" s="641">
        <v>0.28499999999999998</v>
      </c>
      <c r="F125" s="352">
        <v>5.5</v>
      </c>
      <c r="G125" s="75"/>
    </row>
    <row r="126" spans="1:7" ht="14.5">
      <c r="A126" s="472"/>
      <c r="B126" s="455" t="s">
        <v>106</v>
      </c>
      <c r="C126" s="351">
        <v>0.14699999999999999</v>
      </c>
      <c r="D126" s="345">
        <v>0.23100000000000001</v>
      </c>
      <c r="E126" s="357">
        <v>0.27300000000000002</v>
      </c>
      <c r="F126" s="341">
        <v>5.5</v>
      </c>
      <c r="G126" s="75"/>
    </row>
    <row r="127" spans="1:7" ht="14.5">
      <c r="A127" s="472"/>
      <c r="B127" s="455" t="s">
        <v>107</v>
      </c>
      <c r="C127" s="351">
        <v>0.14699999999999999</v>
      </c>
      <c r="D127" s="345">
        <v>0.22500000000000001</v>
      </c>
      <c r="E127" s="345">
        <v>0.25</v>
      </c>
      <c r="F127" s="341">
        <v>5.5</v>
      </c>
      <c r="G127" s="75"/>
    </row>
    <row r="128" spans="1:7" ht="14.5">
      <c r="A128" s="472"/>
      <c r="B128" s="455" t="s">
        <v>108</v>
      </c>
      <c r="C128" s="351">
        <v>0.14699999999999999</v>
      </c>
      <c r="D128" s="345">
        <v>0.22500000000000001</v>
      </c>
      <c r="E128" s="345">
        <v>0.246</v>
      </c>
      <c r="F128" s="341">
        <v>5.5</v>
      </c>
      <c r="G128" s="75"/>
    </row>
    <row r="129" spans="1:7" ht="14.5">
      <c r="A129" s="472"/>
      <c r="B129" s="455" t="s">
        <v>109</v>
      </c>
      <c r="C129" s="351">
        <v>0.14799999999999999</v>
      </c>
      <c r="D129" s="345">
        <v>0.22500000000000001</v>
      </c>
      <c r="E129" s="345">
        <v>0.24199999999999999</v>
      </c>
      <c r="F129" s="341">
        <v>5.5</v>
      </c>
      <c r="G129" s="75"/>
    </row>
    <row r="130" spans="1:7" ht="14.5">
      <c r="A130" s="472"/>
      <c r="B130" s="455" t="s">
        <v>110</v>
      </c>
      <c r="C130" s="351">
        <v>0.14799999999999999</v>
      </c>
      <c r="D130" s="345">
        <v>0.224</v>
      </c>
      <c r="E130" s="345">
        <v>0.24199999999999999</v>
      </c>
      <c r="F130" s="341">
        <v>5.5</v>
      </c>
      <c r="G130" s="75"/>
    </row>
    <row r="131" spans="1:7" ht="14.5">
      <c r="A131" s="472"/>
      <c r="B131" s="455" t="s">
        <v>117</v>
      </c>
      <c r="C131" s="351">
        <v>0.13500000000000001</v>
      </c>
      <c r="D131" s="345">
        <v>0.19900000000000001</v>
      </c>
      <c r="E131" s="357">
        <v>0.222</v>
      </c>
      <c r="F131" s="341">
        <v>5.5</v>
      </c>
      <c r="G131" s="75"/>
    </row>
    <row r="132" spans="1:7" ht="14.5">
      <c r="A132" s="472"/>
      <c r="B132" s="455" t="s">
        <v>112</v>
      </c>
      <c r="C132" s="355">
        <v>0.13500000000000001</v>
      </c>
      <c r="D132" s="355">
        <v>0.19900000000000001</v>
      </c>
      <c r="E132" s="357">
        <v>0.222</v>
      </c>
      <c r="F132" s="341">
        <v>5.5</v>
      </c>
      <c r="G132" s="75"/>
    </row>
    <row r="133" spans="1:7" ht="14.5">
      <c r="A133" s="472"/>
      <c r="B133" s="455" t="s">
        <v>113</v>
      </c>
      <c r="C133" s="351">
        <v>0.129</v>
      </c>
      <c r="D133" s="345">
        <v>0.187</v>
      </c>
      <c r="E133" s="345">
        <v>0.2</v>
      </c>
      <c r="F133" s="341">
        <v>5.5</v>
      </c>
      <c r="G133" s="75"/>
    </row>
    <row r="134" spans="1:7">
      <c r="A134" s="449"/>
      <c r="B134" s="455" t="s">
        <v>114</v>
      </c>
      <c r="C134" s="351">
        <v>0.129</v>
      </c>
      <c r="D134" s="345">
        <v>0.187</v>
      </c>
      <c r="E134" s="345">
        <v>0.2</v>
      </c>
      <c r="F134" s="341">
        <v>5.5</v>
      </c>
      <c r="G134" s="75"/>
    </row>
    <row r="135" spans="1:7">
      <c r="A135" s="449"/>
      <c r="B135" s="455" t="s">
        <v>115</v>
      </c>
      <c r="C135" s="351">
        <v>0.13</v>
      </c>
      <c r="D135" s="345">
        <v>0.187</v>
      </c>
      <c r="E135" s="345">
        <v>0.2</v>
      </c>
      <c r="F135" s="341">
        <v>5.5</v>
      </c>
      <c r="G135" s="75"/>
    </row>
    <row r="136" spans="1:7">
      <c r="A136" s="451"/>
      <c r="B136" s="456" t="s">
        <v>116</v>
      </c>
      <c r="C136" s="381">
        <v>0.13100000000000001</v>
      </c>
      <c r="D136" s="347">
        <v>0.187</v>
      </c>
      <c r="E136" s="347">
        <v>0.2</v>
      </c>
      <c r="F136" s="343">
        <v>5.5</v>
      </c>
      <c r="G136" s="75"/>
    </row>
    <row r="137" spans="1:7" ht="14.5">
      <c r="A137" s="471">
        <v>2022</v>
      </c>
      <c r="B137" s="454" t="s">
        <v>105</v>
      </c>
      <c r="C137" s="349">
        <v>0.13100000000000001</v>
      </c>
      <c r="D137" s="349">
        <v>0.187</v>
      </c>
      <c r="E137" s="349">
        <v>0.2</v>
      </c>
      <c r="F137" s="352">
        <v>5.5</v>
      </c>
      <c r="G137" s="75"/>
    </row>
    <row r="138" spans="1:7">
      <c r="A138" s="449"/>
      <c r="B138" s="455" t="s">
        <v>106</v>
      </c>
      <c r="C138" s="345">
        <v>0.13100000000000001</v>
      </c>
      <c r="D138" s="345">
        <v>0.187</v>
      </c>
      <c r="E138" s="345">
        <v>0.2</v>
      </c>
      <c r="F138" s="341">
        <v>5.5</v>
      </c>
      <c r="G138" s="75"/>
    </row>
    <row r="139" spans="1:7">
      <c r="A139" s="449"/>
      <c r="B139" s="455" t="s">
        <v>107</v>
      </c>
      <c r="C139" s="345">
        <v>0.13300000000000001</v>
      </c>
      <c r="D139" s="345">
        <v>0.187</v>
      </c>
      <c r="E139" s="345">
        <v>0.2</v>
      </c>
      <c r="F139" s="341">
        <v>5.5</v>
      </c>
      <c r="G139" s="75"/>
    </row>
    <row r="140" spans="1:7">
      <c r="A140" s="449"/>
      <c r="B140" s="455" t="s">
        <v>108</v>
      </c>
      <c r="C140" s="345">
        <v>0.13300000000000001</v>
      </c>
      <c r="D140" s="345">
        <v>0.187</v>
      </c>
      <c r="E140" s="345">
        <v>0.2</v>
      </c>
      <c r="F140" s="341">
        <v>5.5</v>
      </c>
      <c r="G140" s="75"/>
    </row>
    <row r="141" spans="1:7">
      <c r="A141" s="449"/>
      <c r="B141" s="455" t="s">
        <v>109</v>
      </c>
      <c r="C141" s="345">
        <v>0.13900000000000001</v>
      </c>
      <c r="D141" s="345">
        <v>0.187</v>
      </c>
      <c r="E141" s="345">
        <v>0.2</v>
      </c>
      <c r="F141" s="341">
        <v>5.5</v>
      </c>
      <c r="G141" s="75"/>
    </row>
    <row r="142" spans="1:7">
      <c r="A142" s="449"/>
      <c r="B142" s="455" t="s">
        <v>110</v>
      </c>
      <c r="C142" s="345">
        <v>0.13900000000000001</v>
      </c>
      <c r="D142" s="345">
        <v>0.187</v>
      </c>
      <c r="E142" s="345">
        <v>0.19400000000000001</v>
      </c>
      <c r="F142" s="341">
        <v>5.5</v>
      </c>
      <c r="G142" s="75"/>
    </row>
    <row r="143" spans="1:7">
      <c r="A143" s="449"/>
      <c r="B143" s="455" t="s">
        <v>117</v>
      </c>
      <c r="C143" s="345">
        <v>0.13900000000000001</v>
      </c>
      <c r="D143" s="345">
        <v>0.187</v>
      </c>
      <c r="E143" s="345">
        <v>0.19400000000000001</v>
      </c>
      <c r="F143" s="341">
        <v>5.5</v>
      </c>
      <c r="G143" s="75"/>
    </row>
    <row r="144" spans="1:7">
      <c r="A144" s="449"/>
      <c r="B144" s="455" t="s">
        <v>112</v>
      </c>
      <c r="C144" s="345">
        <v>0.13900000000000001</v>
      </c>
      <c r="D144" s="345">
        <v>0.187</v>
      </c>
      <c r="E144" s="345">
        <v>0.19400000000000001</v>
      </c>
      <c r="F144" s="341">
        <v>5.5</v>
      </c>
      <c r="G144" s="75"/>
    </row>
    <row r="145" spans="1:7">
      <c r="A145" s="449"/>
      <c r="B145" s="455" t="s">
        <v>113</v>
      </c>
      <c r="C145" s="345">
        <v>0.13900000000000001</v>
      </c>
      <c r="D145" s="345">
        <v>0.187</v>
      </c>
      <c r="E145" s="345">
        <v>0.19400000000000001</v>
      </c>
      <c r="F145" s="341">
        <v>5.5</v>
      </c>
      <c r="G145" s="75"/>
    </row>
    <row r="146" spans="1:7">
      <c r="A146" s="449"/>
      <c r="B146" s="455" t="s">
        <v>114</v>
      </c>
      <c r="C146" s="345">
        <v>0.158</v>
      </c>
      <c r="D146" s="345">
        <v>0.219</v>
      </c>
      <c r="E146" s="345">
        <v>0.26200000000000001</v>
      </c>
      <c r="F146" s="341">
        <v>5.5</v>
      </c>
      <c r="G146" s="75"/>
    </row>
    <row r="147" spans="1:7">
      <c r="A147" s="449"/>
      <c r="B147" s="455" t="s">
        <v>115</v>
      </c>
      <c r="C147" s="345">
        <v>0.158</v>
      </c>
      <c r="D147" s="345">
        <v>0.25</v>
      </c>
      <c r="E147" s="345">
        <v>0.33100000000000002</v>
      </c>
      <c r="F147" s="341">
        <v>5.5</v>
      </c>
      <c r="G147" s="75"/>
    </row>
    <row r="148" spans="1:7">
      <c r="A148" s="451"/>
      <c r="B148" s="456" t="s">
        <v>116</v>
      </c>
      <c r="C148" s="347">
        <v>0.158</v>
      </c>
      <c r="D148" s="347">
        <v>0.26900000000000002</v>
      </c>
      <c r="E148" s="347">
        <v>0.35</v>
      </c>
      <c r="F148" s="343">
        <v>5.5</v>
      </c>
      <c r="G148" s="75"/>
    </row>
    <row r="149" spans="1:7" ht="14.5">
      <c r="A149" s="471">
        <v>2023</v>
      </c>
      <c r="B149" s="454" t="s">
        <v>105</v>
      </c>
      <c r="C149" s="349">
        <v>0.17599999999999999</v>
      </c>
      <c r="D149" s="349">
        <v>0.3</v>
      </c>
      <c r="E149" s="349">
        <v>0.46</v>
      </c>
      <c r="F149" s="352">
        <v>5.5</v>
      </c>
      <c r="G149" s="75"/>
    </row>
    <row r="150" spans="1:7" ht="14.5">
      <c r="A150" s="472"/>
      <c r="B150" s="455" t="s">
        <v>106</v>
      </c>
      <c r="C150" s="345">
        <v>0.17599999999999999</v>
      </c>
      <c r="D150" s="345">
        <v>0.311</v>
      </c>
      <c r="E150" s="345">
        <v>0.52900000000000003</v>
      </c>
      <c r="F150" s="341">
        <v>5.5</v>
      </c>
      <c r="G150" s="75"/>
    </row>
    <row r="151" spans="1:7" ht="14.5">
      <c r="A151" s="472"/>
      <c r="B151" s="455" t="s">
        <v>107</v>
      </c>
      <c r="C151" s="345">
        <v>0.17599999999999999</v>
      </c>
      <c r="D151" s="345">
        <v>0.312</v>
      </c>
      <c r="E151" s="345">
        <v>0.47599999999999998</v>
      </c>
      <c r="F151" s="341">
        <v>5.5</v>
      </c>
      <c r="G151" s="75"/>
    </row>
    <row r="152" spans="1:7" ht="14.5">
      <c r="A152" s="472"/>
      <c r="B152" s="455" t="s">
        <v>108</v>
      </c>
      <c r="C152" s="345">
        <v>0.17599999999999999</v>
      </c>
      <c r="D152" s="345">
        <v>0.312</v>
      </c>
      <c r="E152" s="345">
        <v>0.47899999999999998</v>
      </c>
      <c r="F152" s="341">
        <v>5.5</v>
      </c>
      <c r="G152" s="75"/>
    </row>
    <row r="153" spans="1:7" ht="14.5">
      <c r="A153" s="472"/>
      <c r="B153" s="455" t="s">
        <v>109</v>
      </c>
      <c r="C153" s="345">
        <v>0.17624999999999999</v>
      </c>
      <c r="D153" s="345">
        <v>0.33163749999999997</v>
      </c>
      <c r="E153" s="345">
        <v>0.47950000000000004</v>
      </c>
      <c r="F153" s="341">
        <v>5.5</v>
      </c>
      <c r="G153" s="75"/>
    </row>
    <row r="154" spans="1:7" ht="14.5">
      <c r="A154" s="472"/>
      <c r="B154" s="455" t="s">
        <v>110</v>
      </c>
      <c r="C154" s="345">
        <v>0.17699999999999999</v>
      </c>
      <c r="D154" s="345">
        <v>0.33200000000000002</v>
      </c>
      <c r="E154" s="345">
        <v>0.48099999999999998</v>
      </c>
      <c r="F154" s="341">
        <v>5.5</v>
      </c>
      <c r="G154" s="75"/>
    </row>
    <row r="155" spans="1:7" ht="14.5">
      <c r="A155" s="472"/>
      <c r="B155" s="455" t="s">
        <v>117</v>
      </c>
      <c r="C155" s="345">
        <v>0.184</v>
      </c>
      <c r="D155" s="345">
        <v>0.35599999999999998</v>
      </c>
      <c r="E155" s="345">
        <v>0.48399999999999999</v>
      </c>
      <c r="F155" s="341">
        <v>5.5</v>
      </c>
      <c r="G155" s="75"/>
    </row>
    <row r="156" spans="1:7" ht="14.5">
      <c r="A156" s="472"/>
      <c r="B156" s="455" t="s">
        <v>112</v>
      </c>
      <c r="C156" s="345">
        <v>0.184</v>
      </c>
      <c r="D156" s="345">
        <v>0.35599999999999998</v>
      </c>
      <c r="E156" s="345">
        <v>0.48899999999999999</v>
      </c>
      <c r="F156" s="341">
        <v>5.5</v>
      </c>
      <c r="G156" s="75"/>
    </row>
    <row r="157" spans="1:7" ht="14.5">
      <c r="A157" s="472"/>
      <c r="B157" s="455" t="s">
        <v>113</v>
      </c>
      <c r="C157" s="345">
        <v>0.22</v>
      </c>
      <c r="D157" s="345">
        <v>0.36699999999999999</v>
      </c>
      <c r="E157" s="345">
        <v>0.497</v>
      </c>
      <c r="F157" s="341">
        <v>5.5</v>
      </c>
      <c r="G157" s="75"/>
    </row>
    <row r="158" spans="1:7" ht="14.5">
      <c r="A158" s="472"/>
      <c r="B158" s="455" t="s">
        <v>114</v>
      </c>
      <c r="C158" s="345">
        <v>0.219</v>
      </c>
      <c r="D158" s="345">
        <v>0.375</v>
      </c>
      <c r="E158" s="345">
        <v>0.53400000000000003</v>
      </c>
      <c r="F158" s="341">
        <v>5.5</v>
      </c>
      <c r="G158" s="75"/>
    </row>
    <row r="159" spans="1:7" ht="14.5">
      <c r="A159" s="472"/>
      <c r="B159" s="455" t="s">
        <v>115</v>
      </c>
      <c r="C159" s="345">
        <v>0.222</v>
      </c>
      <c r="D159" s="345">
        <v>0.38</v>
      </c>
      <c r="E159" s="345">
        <v>0.54800000000000004</v>
      </c>
      <c r="F159" s="341">
        <v>5.5</v>
      </c>
      <c r="G159" s="75"/>
    </row>
    <row r="160" spans="1:7" ht="14.5">
      <c r="A160" s="473"/>
      <c r="B160" s="456" t="s">
        <v>116</v>
      </c>
      <c r="C160" s="347">
        <v>0.221</v>
      </c>
      <c r="D160" s="347">
        <v>0.38100000000000001</v>
      </c>
      <c r="E160" s="347">
        <v>0.56799999999999995</v>
      </c>
      <c r="F160" s="343">
        <v>5.5</v>
      </c>
      <c r="G160" s="75"/>
    </row>
    <row r="161" spans="1:12" ht="14.5">
      <c r="A161" s="471">
        <v>2024</v>
      </c>
      <c r="B161" s="454" t="s">
        <v>105</v>
      </c>
      <c r="C161" s="349">
        <v>0.22</v>
      </c>
      <c r="D161" s="349">
        <v>0.36</v>
      </c>
      <c r="E161" s="349">
        <v>0.57999999999999996</v>
      </c>
      <c r="F161" s="352">
        <v>5.5</v>
      </c>
      <c r="G161" s="75"/>
    </row>
    <row r="162" spans="1:12" ht="14.5">
      <c r="A162" s="472"/>
      <c r="B162" s="455" t="s">
        <v>106</v>
      </c>
      <c r="C162" s="345">
        <v>0.22600000000000001</v>
      </c>
      <c r="D162" s="345">
        <v>0.36599999999999999</v>
      </c>
      <c r="E162" s="345">
        <v>0.59399999999999997</v>
      </c>
      <c r="F162" s="341">
        <v>5.5</v>
      </c>
      <c r="G162" s="75"/>
    </row>
    <row r="163" spans="1:12" ht="14.5">
      <c r="A163" s="472"/>
      <c r="B163" s="455" t="s">
        <v>107</v>
      </c>
      <c r="C163" s="345">
        <v>0.42</v>
      </c>
      <c r="D163" s="345">
        <v>0.35699999999999998</v>
      </c>
      <c r="E163" s="345">
        <v>0.628</v>
      </c>
      <c r="F163" s="341">
        <v>5.5</v>
      </c>
      <c r="G163" s="75"/>
    </row>
    <row r="164" spans="1:12" ht="14.5">
      <c r="A164" s="472"/>
      <c r="B164" s="455" t="s">
        <v>108</v>
      </c>
      <c r="C164" s="345">
        <v>0.42</v>
      </c>
      <c r="D164" s="345">
        <v>0.371</v>
      </c>
      <c r="E164" s="345">
        <v>0.65</v>
      </c>
      <c r="F164" s="341">
        <v>5.5</v>
      </c>
      <c r="G164" s="75"/>
    </row>
    <row r="165" spans="1:12" ht="14.5">
      <c r="A165" s="472"/>
      <c r="B165" s="455" t="s">
        <v>109</v>
      </c>
      <c r="C165" s="345">
        <v>0.45700000000000002</v>
      </c>
      <c r="D165" s="345">
        <v>0.40899999999999997</v>
      </c>
      <c r="E165" s="345">
        <v>0.67300000000000004</v>
      </c>
      <c r="F165" s="341">
        <v>5.5</v>
      </c>
      <c r="G165" s="75"/>
    </row>
    <row r="166" spans="1:12" ht="14.5">
      <c r="A166" s="472"/>
      <c r="B166" s="455" t="s">
        <v>110</v>
      </c>
      <c r="C166" s="345">
        <v>0.44600000000000001</v>
      </c>
      <c r="D166" s="345">
        <v>0.42199999999999999</v>
      </c>
      <c r="E166" s="345">
        <v>0.67800000000000005</v>
      </c>
      <c r="F166" s="341">
        <v>5.5</v>
      </c>
      <c r="G166" s="75"/>
    </row>
    <row r="167" spans="1:12" ht="14.5">
      <c r="A167" s="472"/>
      <c r="B167" s="455" t="s">
        <v>117</v>
      </c>
      <c r="C167" s="345">
        <v>0.45900000000000002</v>
      </c>
      <c r="D167" s="345">
        <v>0.437</v>
      </c>
      <c r="E167" s="345">
        <v>0.68500000000000005</v>
      </c>
      <c r="F167" s="341">
        <v>5.5</v>
      </c>
      <c r="G167" s="75"/>
    </row>
    <row r="168" spans="1:12" ht="14.5">
      <c r="A168" s="472"/>
      <c r="B168" s="455" t="s">
        <v>112</v>
      </c>
      <c r="C168" s="345">
        <v>0.45300000000000001</v>
      </c>
      <c r="D168" s="345">
        <v>0.433</v>
      </c>
      <c r="E168" s="345">
        <v>0.69</v>
      </c>
      <c r="F168" s="341">
        <v>5.5</v>
      </c>
      <c r="G168" s="75"/>
    </row>
    <row r="169" spans="1:12" ht="14.5">
      <c r="A169" s="472"/>
      <c r="B169" s="455" t="s">
        <v>113</v>
      </c>
      <c r="C169" s="345">
        <v>0.29699999999999999</v>
      </c>
      <c r="D169" s="345">
        <v>0.438</v>
      </c>
      <c r="E169" s="345">
        <v>0.69</v>
      </c>
      <c r="F169" s="341">
        <v>5.5</v>
      </c>
      <c r="G169" s="75"/>
    </row>
    <row r="170" spans="1:12" ht="14.5">
      <c r="A170" s="472"/>
      <c r="B170" s="455" t="s">
        <v>114</v>
      </c>
      <c r="C170" s="345">
        <v>0.436</v>
      </c>
      <c r="D170" s="345">
        <v>0.443</v>
      </c>
      <c r="E170" s="345">
        <v>0.68400000000000005</v>
      </c>
      <c r="F170" s="341">
        <v>5.5</v>
      </c>
      <c r="G170" s="75"/>
    </row>
    <row r="171" spans="1:12" ht="14.5">
      <c r="A171" s="472"/>
      <c r="B171" s="455" t="s">
        <v>115</v>
      </c>
      <c r="C171" s="345">
        <v>0.42699999999999999</v>
      </c>
      <c r="D171" s="345">
        <v>0.41699999999999998</v>
      </c>
      <c r="E171" s="345">
        <v>0.68200000000000005</v>
      </c>
      <c r="F171" s="341">
        <v>5.5</v>
      </c>
      <c r="G171" s="75"/>
    </row>
    <row r="172" spans="1:12" ht="14.5">
      <c r="A172" s="473"/>
      <c r="B172" s="456" t="s">
        <v>116</v>
      </c>
      <c r="C172" s="347">
        <v>0.39500000000000002</v>
      </c>
      <c r="D172" s="347">
        <v>0.42099999999999999</v>
      </c>
      <c r="E172" s="347">
        <v>0.67600000000000005</v>
      </c>
      <c r="F172" s="343">
        <v>5.5</v>
      </c>
      <c r="G172" s="75"/>
    </row>
    <row r="173" spans="1:12" ht="14.5">
      <c r="A173" s="471">
        <v>2025</v>
      </c>
      <c r="B173" s="454" t="s">
        <v>105</v>
      </c>
      <c r="C173" s="349">
        <v>0.39400000000000002</v>
      </c>
      <c r="D173" s="349">
        <v>0.41899999999999998</v>
      </c>
      <c r="E173" s="349">
        <v>0.67100000000000004</v>
      </c>
      <c r="F173" s="352">
        <v>5.5</v>
      </c>
      <c r="G173" s="75"/>
    </row>
    <row r="174" spans="1:12" ht="14.5">
      <c r="A174" s="472"/>
      <c r="B174" s="455" t="s">
        <v>106</v>
      </c>
      <c r="C174" s="345">
        <v>0.39</v>
      </c>
      <c r="D174" s="345">
        <v>0.42399999999999999</v>
      </c>
      <c r="E174" s="345">
        <v>0.66600000000000004</v>
      </c>
      <c r="F174" s="341">
        <v>5.5</v>
      </c>
      <c r="G174" s="75"/>
      <c r="H174" s="75"/>
      <c r="I174" s="75"/>
      <c r="J174" s="75"/>
      <c r="K174" s="75"/>
      <c r="L174" s="75"/>
    </row>
    <row r="175" spans="1:12" ht="14.5">
      <c r="A175" s="472"/>
      <c r="B175" s="455" t="s">
        <v>107</v>
      </c>
      <c r="C175" s="345">
        <v>0.35599999999999998</v>
      </c>
      <c r="D175" s="345">
        <v>0.433</v>
      </c>
      <c r="E175" s="345">
        <v>0.64500000000000002</v>
      </c>
      <c r="F175" s="341">
        <v>5.5</v>
      </c>
      <c r="G175" s="615"/>
      <c r="H175" s="615"/>
      <c r="I175" s="697"/>
      <c r="J175" s="697"/>
      <c r="K175" s="697"/>
      <c r="L175" s="615"/>
    </row>
    <row r="176" spans="1:12" ht="14.5">
      <c r="A176" s="472"/>
      <c r="B176" s="455" t="s">
        <v>108</v>
      </c>
      <c r="C176" s="345">
        <v>0.35399999999999998</v>
      </c>
      <c r="D176" s="345">
        <v>0.41799999999999998</v>
      </c>
      <c r="E176" s="345">
        <v>0.629</v>
      </c>
      <c r="F176" s="341">
        <v>5.5</v>
      </c>
      <c r="G176" s="75"/>
      <c r="H176" s="75"/>
      <c r="I176" s="75"/>
      <c r="J176" s="75"/>
      <c r="K176" s="75"/>
      <c r="L176" s="75"/>
    </row>
    <row r="177" spans="1:12" ht="14.5">
      <c r="A177" s="472"/>
      <c r="B177" s="455" t="s">
        <v>109</v>
      </c>
      <c r="C177" s="345">
        <v>0.35499999999999998</v>
      </c>
      <c r="D177" s="345">
        <v>0.41</v>
      </c>
      <c r="E177" s="345">
        <v>0.59699999999999998</v>
      </c>
      <c r="F177" s="341">
        <v>5.5</v>
      </c>
      <c r="G177" s="615"/>
      <c r="H177" s="615"/>
      <c r="I177" s="697"/>
      <c r="J177" s="697"/>
      <c r="K177" s="697"/>
      <c r="L177" s="615"/>
    </row>
    <row r="178" spans="1:12" ht="14.5">
      <c r="A178" s="472"/>
      <c r="B178" s="455" t="s">
        <v>110</v>
      </c>
      <c r="C178" s="345">
        <v>0.317</v>
      </c>
      <c r="D178" s="345">
        <v>0.40200000000000002</v>
      </c>
      <c r="E178" s="345">
        <v>0.58799999999999997</v>
      </c>
      <c r="F178" s="341">
        <v>5.5</v>
      </c>
      <c r="G178" s="75"/>
      <c r="H178" s="75"/>
      <c r="I178" s="75"/>
      <c r="J178" s="75"/>
      <c r="K178" s="75"/>
      <c r="L178" s="75"/>
    </row>
    <row r="179" spans="1:12" ht="14.5">
      <c r="A179" s="472"/>
      <c r="B179" s="455" t="s">
        <v>117</v>
      </c>
      <c r="C179" s="345">
        <v>0.316</v>
      </c>
      <c r="D179" s="345">
        <v>0.39</v>
      </c>
      <c r="E179" s="345">
        <v>0.56899999999999995</v>
      </c>
      <c r="F179" s="341">
        <v>5.5</v>
      </c>
      <c r="G179" s="75"/>
    </row>
    <row r="180" spans="1:12" ht="14.5">
      <c r="A180" s="473"/>
      <c r="B180" s="456" t="s">
        <v>112</v>
      </c>
      <c r="C180" s="347">
        <v>0.30599999999999999</v>
      </c>
      <c r="D180" s="347">
        <v>0.378</v>
      </c>
      <c r="E180" s="347">
        <v>0.54600000000000004</v>
      </c>
      <c r="F180" s="343">
        <v>5.5</v>
      </c>
      <c r="G180" s="75"/>
      <c r="H180" s="75"/>
      <c r="I180" s="75"/>
      <c r="J180" s="75"/>
      <c r="K180" s="75"/>
      <c r="L180" s="75"/>
    </row>
    <row r="181" spans="1:12">
      <c r="A181" s="67"/>
      <c r="B181" s="67"/>
      <c r="C181" s="93"/>
      <c r="D181" s="93"/>
      <c r="E181" s="93"/>
      <c r="F181" s="94"/>
      <c r="G181" s="75"/>
    </row>
    <row r="182" spans="1:12">
      <c r="A182" s="575" t="s">
        <v>195</v>
      </c>
    </row>
    <row r="183" spans="1:12">
      <c r="A183" s="488" t="s">
        <v>168</v>
      </c>
    </row>
    <row r="184" spans="1:12">
      <c r="A184" s="68"/>
    </row>
    <row r="185" spans="1:12">
      <c r="A185" s="69"/>
      <c r="D185" s="615"/>
    </row>
    <row r="186" spans="1:12">
      <c r="D186" s="615"/>
    </row>
    <row r="187" spans="1:12">
      <c r="D187" s="615"/>
    </row>
  </sheetData>
  <sheetProtection formatCells="0" insertColumns="0" insertRows="0" deleteColumns="0" deleteRows="0"/>
  <mergeCells count="6">
    <mergeCell ref="A1:E1"/>
    <mergeCell ref="F3:F4"/>
    <mergeCell ref="A3:B4"/>
    <mergeCell ref="C3:C4"/>
    <mergeCell ref="D3:D4"/>
    <mergeCell ref="E3:E4"/>
  </mergeCells>
  <printOptions horizontalCentered="1"/>
  <pageMargins left="0.17" right="0.22"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workbookViewId="0">
      <selection activeCell="A2" sqref="A2"/>
    </sheetView>
  </sheetViews>
  <sheetFormatPr defaultColWidth="9.1796875" defaultRowHeight="12.5"/>
  <cols>
    <col min="1" max="1" width="6.81640625" style="6" customWidth="1"/>
    <col min="2" max="2" width="6.81640625" style="8" customWidth="1"/>
    <col min="3" max="5" width="22.81640625" style="33" customWidth="1"/>
    <col min="6" max="16384" width="9.1796875" style="6"/>
  </cols>
  <sheetData>
    <row r="1" spans="1:5" s="4" customFormat="1" ht="14">
      <c r="A1" s="1" t="s">
        <v>379</v>
      </c>
      <c r="B1" s="2"/>
      <c r="C1" s="3"/>
      <c r="D1" s="3"/>
      <c r="E1" s="3"/>
    </row>
    <row r="2" spans="1:5">
      <c r="A2" s="5"/>
    </row>
    <row r="3" spans="1:5" ht="15.75" customHeight="1">
      <c r="A3" s="720" t="s">
        <v>97</v>
      </c>
      <c r="B3" s="720"/>
      <c r="C3" s="720"/>
      <c r="D3" s="720"/>
      <c r="E3" s="720"/>
    </row>
    <row r="4" spans="1:5">
      <c r="A4" s="885" t="s">
        <v>98</v>
      </c>
      <c r="B4" s="885"/>
      <c r="C4" s="885" t="s">
        <v>380</v>
      </c>
      <c r="D4" s="884" t="s">
        <v>381</v>
      </c>
      <c r="E4" s="884"/>
    </row>
    <row r="5" spans="1:5" s="33" customFormat="1">
      <c r="A5" s="885"/>
      <c r="B5" s="885"/>
      <c r="C5" s="885"/>
      <c r="D5" s="35" t="s">
        <v>3</v>
      </c>
      <c r="E5" s="35" t="s">
        <v>382</v>
      </c>
    </row>
    <row r="6" spans="1:5">
      <c r="A6" s="659">
        <v>2011</v>
      </c>
      <c r="B6" s="686" t="s">
        <v>105</v>
      </c>
      <c r="C6" s="687">
        <v>1042.1600000000001</v>
      </c>
      <c r="D6" s="688">
        <v>1002.2</v>
      </c>
      <c r="E6" s="687">
        <f>C6-D6</f>
        <v>39.960000000000036</v>
      </c>
    </row>
    <row r="7" spans="1:5">
      <c r="A7" s="10"/>
      <c r="B7" s="33" t="s">
        <v>106</v>
      </c>
      <c r="C7" s="14">
        <v>1064.45</v>
      </c>
      <c r="D7" s="36">
        <v>979.24</v>
      </c>
      <c r="E7" s="14">
        <f t="shared" ref="E7:E24" si="0">C7-D7</f>
        <v>85.210000000000036</v>
      </c>
    </row>
    <row r="8" spans="1:5">
      <c r="A8" s="10"/>
      <c r="B8" s="33" t="s">
        <v>107</v>
      </c>
      <c r="C8" s="14">
        <v>1001.04</v>
      </c>
      <c r="D8" s="36">
        <v>949.84</v>
      </c>
      <c r="E8" s="14">
        <f t="shared" si="0"/>
        <v>51.199999999999932</v>
      </c>
    </row>
    <row r="9" spans="1:5">
      <c r="A9" s="10"/>
      <c r="B9" s="33" t="s">
        <v>108</v>
      </c>
      <c r="C9" s="14">
        <v>1004.82</v>
      </c>
      <c r="D9" s="36">
        <v>972.84</v>
      </c>
      <c r="E9" s="14">
        <f t="shared" si="0"/>
        <v>31.980000000000018</v>
      </c>
    </row>
    <row r="10" spans="1:5">
      <c r="A10" s="10"/>
      <c r="B10" s="33" t="s">
        <v>109</v>
      </c>
      <c r="C10" s="14">
        <v>1028.71</v>
      </c>
      <c r="D10" s="36">
        <v>971.09</v>
      </c>
      <c r="E10" s="14">
        <f t="shared" si="0"/>
        <v>57.620000000000005</v>
      </c>
    </row>
    <row r="11" spans="1:5">
      <c r="A11" s="10"/>
      <c r="B11" s="33" t="s">
        <v>110</v>
      </c>
      <c r="C11" s="14">
        <v>1031.0899999999999</v>
      </c>
      <c r="D11" s="36">
        <v>942.14</v>
      </c>
      <c r="E11" s="14">
        <f t="shared" si="0"/>
        <v>88.949999999999932</v>
      </c>
    </row>
    <row r="12" spans="1:5">
      <c r="A12" s="10"/>
      <c r="B12" s="33" t="s">
        <v>111</v>
      </c>
      <c r="C12" s="14">
        <v>1038.29</v>
      </c>
      <c r="D12" s="36">
        <v>953.02</v>
      </c>
      <c r="E12" s="14">
        <f t="shared" si="0"/>
        <v>85.269999999999982</v>
      </c>
    </row>
    <row r="13" spans="1:5">
      <c r="A13" s="10"/>
      <c r="B13" s="33" t="s">
        <v>112</v>
      </c>
      <c r="C13" s="14">
        <v>1067.28</v>
      </c>
      <c r="D13" s="36">
        <v>970.79</v>
      </c>
      <c r="E13" s="14">
        <f t="shared" si="0"/>
        <v>96.490000000000009</v>
      </c>
    </row>
    <row r="14" spans="1:5">
      <c r="A14" s="10"/>
      <c r="B14" s="33" t="s">
        <v>113</v>
      </c>
      <c r="C14" s="14">
        <v>1037.4000000000001</v>
      </c>
      <c r="D14" s="36">
        <v>915.19</v>
      </c>
      <c r="E14" s="14">
        <f t="shared" si="0"/>
        <v>122.21000000000004</v>
      </c>
    </row>
    <row r="15" spans="1:5">
      <c r="A15" s="10"/>
      <c r="B15" s="33" t="s">
        <v>114</v>
      </c>
      <c r="C15" s="14">
        <v>1041.03</v>
      </c>
      <c r="D15" s="36">
        <v>1002.48</v>
      </c>
      <c r="E15" s="14">
        <f t="shared" si="0"/>
        <v>38.549999999999955</v>
      </c>
    </row>
    <row r="16" spans="1:5">
      <c r="A16" s="10"/>
      <c r="B16" s="33" t="s">
        <v>115</v>
      </c>
      <c r="C16" s="14">
        <v>1048.21</v>
      </c>
      <c r="D16" s="36">
        <v>1003.65</v>
      </c>
      <c r="E16" s="14">
        <f t="shared" si="0"/>
        <v>44.560000000000059</v>
      </c>
    </row>
    <row r="17" spans="1:5">
      <c r="A17" s="12"/>
      <c r="B17" s="34" t="s">
        <v>116</v>
      </c>
      <c r="C17" s="37">
        <v>1826.36</v>
      </c>
      <c r="D17" s="38">
        <v>1689.99</v>
      </c>
      <c r="E17" s="37">
        <f t="shared" si="0"/>
        <v>136.36999999999989</v>
      </c>
    </row>
    <row r="18" spans="1:5">
      <c r="A18" s="659">
        <v>2012</v>
      </c>
      <c r="B18" s="686" t="s">
        <v>105</v>
      </c>
      <c r="C18" s="687">
        <v>1102.4953264400001</v>
      </c>
      <c r="D18" s="688">
        <v>997.84082181999997</v>
      </c>
      <c r="E18" s="687">
        <f t="shared" si="0"/>
        <v>104.65450462000013</v>
      </c>
    </row>
    <row r="19" spans="1:5">
      <c r="A19" s="10"/>
      <c r="B19" s="33" t="s">
        <v>106</v>
      </c>
      <c r="C19" s="14">
        <v>1039.03011679</v>
      </c>
      <c r="D19" s="36">
        <v>1125.6970962999999</v>
      </c>
      <c r="E19" s="14">
        <f t="shared" si="0"/>
        <v>-86.666979509999919</v>
      </c>
    </row>
    <row r="20" spans="1:5">
      <c r="A20" s="10"/>
      <c r="B20" s="33" t="s">
        <v>107</v>
      </c>
      <c r="C20" s="14">
        <v>1356.8377165999998</v>
      </c>
      <c r="D20" s="36">
        <v>1238.85499026</v>
      </c>
      <c r="E20" s="14">
        <f t="shared" si="0"/>
        <v>117.98272633999977</v>
      </c>
    </row>
    <row r="21" spans="1:5">
      <c r="A21" s="10"/>
      <c r="B21" s="33" t="s">
        <v>108</v>
      </c>
      <c r="C21" s="14">
        <v>2511.7642013181135</v>
      </c>
      <c r="D21" s="36">
        <v>2346.5936323900005</v>
      </c>
      <c r="E21" s="14">
        <f t="shared" si="0"/>
        <v>165.17056892811297</v>
      </c>
    </row>
    <row r="22" spans="1:5">
      <c r="A22" s="10"/>
      <c r="B22" s="33" t="s">
        <v>109</v>
      </c>
      <c r="C22" s="14">
        <v>2175.0865613208921</v>
      </c>
      <c r="D22" s="36">
        <v>2062.0124522600004</v>
      </c>
      <c r="E22" s="14">
        <f t="shared" si="0"/>
        <v>113.07410906089171</v>
      </c>
    </row>
    <row r="23" spans="1:5">
      <c r="A23" s="10"/>
      <c r="B23" s="33" t="s">
        <v>110</v>
      </c>
      <c r="C23" s="14">
        <v>2317.1195120549223</v>
      </c>
      <c r="D23" s="36">
        <v>2125.1717992499998</v>
      </c>
      <c r="E23" s="14">
        <f t="shared" si="0"/>
        <v>191.9477128049225</v>
      </c>
    </row>
    <row r="24" spans="1:5">
      <c r="A24" s="10"/>
      <c r="B24" s="33" t="s">
        <v>111</v>
      </c>
      <c r="C24" s="14">
        <v>2350.433497503017</v>
      </c>
      <c r="D24" s="36">
        <v>2109.1354985899998</v>
      </c>
      <c r="E24" s="14">
        <f t="shared" si="0"/>
        <v>241.29799891301718</v>
      </c>
    </row>
    <row r="25" spans="1:5">
      <c r="A25" s="10"/>
      <c r="B25" s="33" t="s">
        <v>112</v>
      </c>
      <c r="C25" s="14"/>
      <c r="D25" s="36">
        <v>1848.6834745000001</v>
      </c>
      <c r="E25" s="14"/>
    </row>
    <row r="26" spans="1:5">
      <c r="A26" s="10"/>
      <c r="B26" s="33" t="s">
        <v>113</v>
      </c>
      <c r="C26" s="14"/>
      <c r="D26" s="36">
        <v>1623.7179944100001</v>
      </c>
      <c r="E26" s="14"/>
    </row>
    <row r="27" spans="1:5">
      <c r="A27" s="10"/>
      <c r="B27" s="33" t="s">
        <v>114</v>
      </c>
      <c r="C27" s="14"/>
      <c r="D27" s="36">
        <v>1610.3939718300001</v>
      </c>
      <c r="E27" s="14"/>
    </row>
    <row r="28" spans="1:5">
      <c r="A28" s="10"/>
      <c r="B28" s="33" t="s">
        <v>115</v>
      </c>
      <c r="C28" s="14"/>
      <c r="D28" s="36"/>
      <c r="E28" s="14"/>
    </row>
    <row r="29" spans="1:5">
      <c r="A29" s="12"/>
      <c r="B29" s="34" t="s">
        <v>116</v>
      </c>
      <c r="C29" s="39"/>
      <c r="D29" s="40"/>
      <c r="E29" s="39"/>
    </row>
    <row r="31" spans="1:5">
      <c r="A31" s="6" t="s">
        <v>383</v>
      </c>
    </row>
  </sheetData>
  <mergeCells count="4">
    <mergeCell ref="D4:E4"/>
    <mergeCell ref="A4:B5"/>
    <mergeCell ref="C4:C5"/>
    <mergeCell ref="A3:E3"/>
  </mergeCells>
  <pageMargins left="0.7" right="0.7" top="0.75" bottom="0.75" header="0.3" footer="0.3"/>
  <pageSetup orientation="portrait" verticalDpi="598"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workbookViewId="0">
      <selection activeCell="A2" sqref="A2"/>
    </sheetView>
  </sheetViews>
  <sheetFormatPr defaultColWidth="9.1796875" defaultRowHeight="12.5"/>
  <cols>
    <col min="1" max="2" width="7.81640625" style="6" customWidth="1"/>
    <col min="3" max="4" width="35.81640625" style="6" customWidth="1"/>
    <col min="5" max="5" width="10.81640625" style="6" customWidth="1"/>
    <col min="6" max="6" width="9.54296875" style="6" bestFit="1" customWidth="1"/>
    <col min="7" max="16384" width="9.1796875" style="6"/>
  </cols>
  <sheetData>
    <row r="1" spans="1:4" s="4" customFormat="1" ht="14">
      <c r="A1" s="1" t="s">
        <v>384</v>
      </c>
    </row>
    <row r="3" spans="1:4">
      <c r="A3" s="720" t="s">
        <v>385</v>
      </c>
      <c r="B3" s="720"/>
      <c r="C3" s="720"/>
      <c r="D3" s="720"/>
    </row>
    <row r="4" spans="1:4" s="7" customFormat="1" ht="15" customHeight="1">
      <c r="A4" s="885" t="s">
        <v>98</v>
      </c>
      <c r="B4" s="885"/>
      <c r="C4" s="886" t="s">
        <v>386</v>
      </c>
      <c r="D4" s="886" t="s">
        <v>387</v>
      </c>
    </row>
    <row r="5" spans="1:4" s="7" customFormat="1" ht="15.75" customHeight="1">
      <c r="A5" s="885"/>
      <c r="B5" s="885"/>
      <c r="C5" s="886"/>
      <c r="D5" s="886"/>
    </row>
    <row r="6" spans="1:4">
      <c r="A6" s="659">
        <v>2011</v>
      </c>
      <c r="B6" s="660" t="s">
        <v>105</v>
      </c>
      <c r="C6" s="687">
        <v>100.296736</v>
      </c>
      <c r="D6" s="687"/>
    </row>
    <row r="7" spans="1:4">
      <c r="A7" s="10"/>
      <c r="B7" s="11" t="s">
        <v>106</v>
      </c>
      <c r="C7" s="14">
        <v>78.539489000000003</v>
      </c>
      <c r="D7" s="14"/>
    </row>
    <row r="8" spans="1:4">
      <c r="A8" s="10"/>
      <c r="B8" s="11" t="s">
        <v>107</v>
      </c>
      <c r="C8" s="14">
        <v>104.325091</v>
      </c>
      <c r="D8" s="14"/>
    </row>
    <row r="9" spans="1:4">
      <c r="A9" s="10"/>
      <c r="B9" s="11" t="s">
        <v>108</v>
      </c>
      <c r="C9" s="14">
        <v>82.773931000000005</v>
      </c>
      <c r="D9" s="14"/>
    </row>
    <row r="10" spans="1:4">
      <c r="A10" s="10"/>
      <c r="B10" s="11" t="s">
        <v>109</v>
      </c>
      <c r="C10" s="14">
        <v>93.619546</v>
      </c>
      <c r="D10" s="14"/>
    </row>
    <row r="11" spans="1:4">
      <c r="A11" s="10"/>
      <c r="B11" s="11" t="s">
        <v>110</v>
      </c>
      <c r="C11" s="14">
        <v>97.075644999999994</v>
      </c>
      <c r="D11" s="14"/>
    </row>
    <row r="12" spans="1:4">
      <c r="A12" s="10"/>
      <c r="B12" s="11" t="s">
        <v>111</v>
      </c>
      <c r="C12" s="14">
        <v>95.235082000000006</v>
      </c>
      <c r="D12" s="14"/>
    </row>
    <row r="13" spans="1:4">
      <c r="A13" s="10"/>
      <c r="B13" s="11" t="s">
        <v>112</v>
      </c>
      <c r="C13" s="14">
        <v>80.275756999999999</v>
      </c>
      <c r="D13" s="14"/>
    </row>
    <row r="14" spans="1:4">
      <c r="A14" s="10"/>
      <c r="B14" s="11" t="s">
        <v>113</v>
      </c>
      <c r="C14" s="14">
        <v>85.055306000000002</v>
      </c>
      <c r="D14" s="14"/>
    </row>
    <row r="15" spans="1:4">
      <c r="A15" s="10"/>
      <c r="B15" s="11" t="s">
        <v>114</v>
      </c>
      <c r="C15" s="14">
        <v>77.001220000000004</v>
      </c>
      <c r="D15" s="14"/>
    </row>
    <row r="16" spans="1:4">
      <c r="A16" s="10"/>
      <c r="B16" s="11" t="s">
        <v>115</v>
      </c>
      <c r="C16" s="14">
        <v>78.214258000000001</v>
      </c>
      <c r="D16" s="14"/>
    </row>
    <row r="17" spans="1:6">
      <c r="A17" s="10"/>
      <c r="B17" s="11" t="s">
        <v>116</v>
      </c>
      <c r="C17" s="14">
        <v>98.190473999999995</v>
      </c>
      <c r="D17" s="14"/>
    </row>
    <row r="18" spans="1:6" s="5" customFormat="1">
      <c r="A18" s="15"/>
      <c r="B18" s="16" t="s">
        <v>102</v>
      </c>
      <c r="C18" s="17">
        <v>1070.602535</v>
      </c>
      <c r="D18" s="17">
        <v>23.225899999999999</v>
      </c>
      <c r="F18" s="18"/>
    </row>
    <row r="19" spans="1:6">
      <c r="A19" s="659">
        <v>2012</v>
      </c>
      <c r="B19" s="660" t="s">
        <v>105</v>
      </c>
      <c r="C19" s="687">
        <v>102.90445</v>
      </c>
      <c r="D19" s="19"/>
    </row>
    <row r="20" spans="1:6">
      <c r="A20" s="10"/>
      <c r="B20" s="11" t="s">
        <v>106</v>
      </c>
      <c r="C20" s="14">
        <v>73.345536999999993</v>
      </c>
      <c r="D20" s="19"/>
    </row>
    <row r="21" spans="1:6">
      <c r="A21" s="10"/>
      <c r="B21" s="11" t="s">
        <v>107</v>
      </c>
      <c r="C21" s="14">
        <v>96.751221999999999</v>
      </c>
      <c r="D21" s="19"/>
    </row>
    <row r="22" spans="1:6">
      <c r="A22" s="10"/>
      <c r="B22" s="11" t="s">
        <v>108</v>
      </c>
      <c r="C22" s="14">
        <v>90.910781999999998</v>
      </c>
      <c r="D22" s="19"/>
    </row>
    <row r="23" spans="1:6">
      <c r="A23" s="10"/>
      <c r="B23" s="11" t="s">
        <v>109</v>
      </c>
      <c r="C23" s="14">
        <v>83.307571999999993</v>
      </c>
      <c r="D23" s="19"/>
    </row>
    <row r="24" spans="1:6">
      <c r="A24" s="10"/>
      <c r="B24" s="11" t="s">
        <v>110</v>
      </c>
      <c r="C24" s="14">
        <v>106.798306</v>
      </c>
      <c r="D24" s="19"/>
    </row>
    <row r="25" spans="1:6">
      <c r="A25" s="10"/>
      <c r="B25" s="11" t="s">
        <v>111</v>
      </c>
      <c r="C25" s="14">
        <v>108.75269299999999</v>
      </c>
      <c r="D25" s="19"/>
    </row>
    <row r="26" spans="1:6">
      <c r="A26" s="10"/>
      <c r="B26" s="11" t="s">
        <v>112</v>
      </c>
      <c r="C26" s="14"/>
      <c r="D26" s="19"/>
    </row>
    <row r="27" spans="1:6">
      <c r="A27" s="10"/>
      <c r="B27" s="11" t="s">
        <v>113</v>
      </c>
      <c r="C27" s="14"/>
      <c r="D27" s="19"/>
    </row>
    <row r="28" spans="1:6">
      <c r="A28" s="10"/>
      <c r="B28" s="11" t="s">
        <v>114</v>
      </c>
      <c r="C28" s="14"/>
      <c r="D28" s="19"/>
    </row>
    <row r="29" spans="1:6">
      <c r="A29" s="10"/>
      <c r="B29" s="11" t="s">
        <v>115</v>
      </c>
      <c r="C29" s="14"/>
      <c r="D29" s="19"/>
    </row>
    <row r="30" spans="1:6">
      <c r="A30" s="10"/>
      <c r="B30" s="11" t="s">
        <v>116</v>
      </c>
      <c r="C30" s="14"/>
      <c r="D30" s="19"/>
    </row>
    <row r="31" spans="1:6" s="5" customFormat="1">
      <c r="A31" s="15"/>
      <c r="B31" s="16" t="s">
        <v>102</v>
      </c>
      <c r="C31" s="17"/>
      <c r="D31" s="20">
        <v>16.545576000000001</v>
      </c>
    </row>
    <row r="32" spans="1:6">
      <c r="C32" s="8"/>
      <c r="D32" s="8"/>
    </row>
    <row r="33" spans="1:4">
      <c r="A33" s="6" t="s">
        <v>383</v>
      </c>
      <c r="C33" s="8"/>
      <c r="D33" s="8"/>
    </row>
    <row r="34" spans="1:4">
      <c r="C34" s="8"/>
      <c r="D34" s="8"/>
    </row>
    <row r="35" spans="1:4">
      <c r="C35" s="8"/>
      <c r="D35" s="8"/>
    </row>
  </sheetData>
  <mergeCells count="4">
    <mergeCell ref="A4:B5"/>
    <mergeCell ref="C4:C5"/>
    <mergeCell ref="D4:D5"/>
    <mergeCell ref="A3:D3"/>
  </mergeCells>
  <pageMargins left="0.7" right="0.7" top="0.75" bottom="0.75" header="0.3" footer="0.3"/>
  <pageSetup orientation="portrait" verticalDpi="598"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221"/>
  <sheetViews>
    <sheetView zoomScaleNormal="100" workbookViewId="0">
      <pane xSplit="2" ySplit="5" topLeftCell="C207" activePane="bottomRight" state="frozen"/>
      <selection pane="topRight" activeCell="J154" sqref="J154"/>
      <selection pane="bottomLeft" activeCell="J154" sqref="J154"/>
      <selection pane="bottomRight" sqref="A1:J1"/>
    </sheetView>
  </sheetViews>
  <sheetFormatPr defaultColWidth="9.1796875" defaultRowHeight="13"/>
  <cols>
    <col min="1" max="2" width="5.81640625" style="65" customWidth="1"/>
    <col min="3" max="3" width="8.1796875" style="65" bestFit="1" customWidth="1"/>
    <col min="4" max="6" width="6.81640625" style="65" customWidth="1"/>
    <col min="7" max="7" width="7.54296875" style="65" bestFit="1" customWidth="1"/>
    <col min="8" max="8" width="7.81640625" style="65" customWidth="1"/>
    <col min="9" max="9" width="6.81640625" style="65" customWidth="1"/>
    <col min="10" max="10" width="6.1796875" style="65" customWidth="1"/>
    <col min="11" max="13" width="6.81640625" style="65" customWidth="1"/>
    <col min="14" max="14" width="6.1796875" style="65" customWidth="1"/>
    <col min="15" max="15" width="7.54296875" style="65" bestFit="1" customWidth="1"/>
    <col min="16" max="16" width="8" style="65" bestFit="1" customWidth="1"/>
    <col min="17" max="17" width="6.54296875" style="65" customWidth="1"/>
    <col min="18" max="18" width="6.1796875" style="65" customWidth="1"/>
    <col min="19" max="16384" width="9.1796875" style="65"/>
  </cols>
  <sheetData>
    <row r="1" spans="1:18">
      <c r="A1" s="716" t="s">
        <v>388</v>
      </c>
      <c r="B1" s="716"/>
      <c r="C1" s="716"/>
      <c r="D1" s="716"/>
      <c r="E1" s="716"/>
      <c r="F1" s="716"/>
      <c r="G1" s="716"/>
      <c r="H1" s="716"/>
      <c r="I1" s="716"/>
      <c r="J1" s="716"/>
    </row>
    <row r="3" spans="1:18" ht="14.25" customHeight="1">
      <c r="A3" s="751" t="s">
        <v>389</v>
      </c>
      <c r="B3" s="751"/>
      <c r="C3" s="749" t="s">
        <v>390</v>
      </c>
      <c r="D3" s="749"/>
      <c r="E3" s="749"/>
      <c r="F3" s="749"/>
      <c r="G3" s="749" t="s">
        <v>391</v>
      </c>
      <c r="H3" s="749"/>
      <c r="I3" s="749"/>
      <c r="J3" s="749"/>
      <c r="K3" s="749" t="s">
        <v>390</v>
      </c>
      <c r="L3" s="749"/>
      <c r="M3" s="749"/>
      <c r="N3" s="749"/>
      <c r="O3" s="749" t="s">
        <v>391</v>
      </c>
      <c r="P3" s="749"/>
      <c r="Q3" s="749"/>
      <c r="R3" s="749"/>
    </row>
    <row r="4" spans="1:18" ht="15.75" customHeight="1">
      <c r="A4" s="751"/>
      <c r="B4" s="751"/>
      <c r="C4" s="478" t="s">
        <v>392</v>
      </c>
      <c r="D4" s="478" t="s">
        <v>393</v>
      </c>
      <c r="E4" s="478" t="s">
        <v>394</v>
      </c>
      <c r="F4" s="478" t="s">
        <v>395</v>
      </c>
      <c r="G4" s="478" t="s">
        <v>396</v>
      </c>
      <c r="H4" s="478" t="s">
        <v>397</v>
      </c>
      <c r="I4" s="478" t="s">
        <v>398</v>
      </c>
      <c r="J4" s="478" t="s">
        <v>399</v>
      </c>
      <c r="K4" s="478" t="s">
        <v>392</v>
      </c>
      <c r="L4" s="478" t="s">
        <v>393</v>
      </c>
      <c r="M4" s="478" t="s">
        <v>394</v>
      </c>
      <c r="N4" s="478" t="s">
        <v>395</v>
      </c>
      <c r="O4" s="478" t="s">
        <v>396</v>
      </c>
      <c r="P4" s="478" t="s">
        <v>397</v>
      </c>
      <c r="Q4" s="478" t="s">
        <v>398</v>
      </c>
      <c r="R4" s="478" t="s">
        <v>399</v>
      </c>
    </row>
    <row r="5" spans="1:18" ht="15.75" customHeight="1">
      <c r="A5" s="863"/>
      <c r="B5" s="863"/>
      <c r="C5" s="888" t="s">
        <v>98</v>
      </c>
      <c r="D5" s="888"/>
      <c r="E5" s="888"/>
      <c r="F5" s="888"/>
      <c r="G5" s="888"/>
      <c r="H5" s="888"/>
      <c r="I5" s="888"/>
      <c r="J5" s="888"/>
      <c r="K5" s="888" t="s">
        <v>400</v>
      </c>
      <c r="L5" s="888"/>
      <c r="M5" s="888"/>
      <c r="N5" s="888"/>
      <c r="O5" s="888"/>
      <c r="P5" s="888"/>
      <c r="Q5" s="888"/>
      <c r="R5" s="888"/>
    </row>
    <row r="6" spans="1:18" ht="12.75" customHeight="1">
      <c r="A6" s="472">
        <v>2008</v>
      </c>
      <c r="B6" s="455" t="s">
        <v>105</v>
      </c>
      <c r="C6" s="689">
        <v>1.4184000000000001</v>
      </c>
      <c r="D6" s="690">
        <v>2.8144</v>
      </c>
      <c r="E6" s="689"/>
      <c r="F6" s="372">
        <v>2.1053000000000002</v>
      </c>
      <c r="G6" s="691"/>
      <c r="H6" s="372">
        <v>43.83</v>
      </c>
      <c r="I6" s="371">
        <v>1.3328</v>
      </c>
      <c r="J6" s="372"/>
      <c r="K6" s="371">
        <v>1.4315</v>
      </c>
      <c r="L6" s="372">
        <v>2.8178000000000001</v>
      </c>
      <c r="M6" s="371"/>
      <c r="N6" s="372">
        <v>2.1053999999999999</v>
      </c>
      <c r="O6" s="691"/>
      <c r="P6" s="372">
        <v>43.79</v>
      </c>
      <c r="Q6" s="371">
        <v>1.3270999999999999</v>
      </c>
      <c r="R6" s="373"/>
    </row>
    <row r="7" spans="1:18" ht="12.75" customHeight="1">
      <c r="A7" s="472"/>
      <c r="B7" s="455" t="s">
        <v>106</v>
      </c>
      <c r="C7" s="359">
        <v>1.3929</v>
      </c>
      <c r="D7" s="360">
        <v>2.7692000000000001</v>
      </c>
      <c r="E7" s="359"/>
      <c r="F7" s="368">
        <v>2.1141000000000001</v>
      </c>
      <c r="G7" s="382"/>
      <c r="H7" s="368">
        <v>43.68</v>
      </c>
      <c r="I7" s="367">
        <v>1.3291999999999999</v>
      </c>
      <c r="J7" s="368"/>
      <c r="K7" s="367">
        <v>1.4108000000000001</v>
      </c>
      <c r="L7" s="368">
        <v>2.7728000000000002</v>
      </c>
      <c r="M7" s="367"/>
      <c r="N7" s="368">
        <v>2.0825</v>
      </c>
      <c r="O7" s="382"/>
      <c r="P7" s="368">
        <v>43.77</v>
      </c>
      <c r="Q7" s="367">
        <v>1.3160000000000001</v>
      </c>
      <c r="R7" s="361"/>
    </row>
    <row r="8" spans="1:18" ht="12.75" customHeight="1">
      <c r="A8" s="472"/>
      <c r="B8" s="455" t="s">
        <v>107</v>
      </c>
      <c r="C8" s="359">
        <v>1.3798999999999999</v>
      </c>
      <c r="D8" s="360">
        <v>2.7528999999999999</v>
      </c>
      <c r="E8" s="359"/>
      <c r="F8" s="368">
        <v>2.1806999999999999</v>
      </c>
      <c r="G8" s="382"/>
      <c r="H8" s="368">
        <v>43.26</v>
      </c>
      <c r="I8" s="367">
        <v>1.3814</v>
      </c>
      <c r="J8" s="368"/>
      <c r="K8" s="367">
        <v>1.3855</v>
      </c>
      <c r="L8" s="368">
        <v>2.7738999999999998</v>
      </c>
      <c r="M8" s="367"/>
      <c r="N8" s="368">
        <v>2.1501999999999999</v>
      </c>
      <c r="O8" s="382"/>
      <c r="P8" s="368">
        <v>43.48</v>
      </c>
      <c r="Q8" s="367">
        <v>1.3754999999999999</v>
      </c>
      <c r="R8" s="361"/>
    </row>
    <row r="9" spans="1:18" ht="12.75" customHeight="1">
      <c r="A9" s="472"/>
      <c r="B9" s="455" t="s">
        <v>108</v>
      </c>
      <c r="C9" s="359">
        <v>1.3619000000000001</v>
      </c>
      <c r="D9" s="360">
        <v>2.6812</v>
      </c>
      <c r="E9" s="359"/>
      <c r="F9" s="368">
        <v>2.1206</v>
      </c>
      <c r="G9" s="382"/>
      <c r="H9" s="368">
        <v>43.13</v>
      </c>
      <c r="I9" s="367">
        <v>1.3082</v>
      </c>
      <c r="J9" s="368"/>
      <c r="K9" s="367">
        <v>1.3644000000000001</v>
      </c>
      <c r="L9" s="368">
        <v>2.7029999999999998</v>
      </c>
      <c r="M9" s="367"/>
      <c r="N9" s="368">
        <v>2.1503999999999999</v>
      </c>
      <c r="O9" s="382"/>
      <c r="P9" s="368">
        <v>43.15</v>
      </c>
      <c r="Q9" s="367">
        <v>1.3308</v>
      </c>
      <c r="R9" s="361"/>
    </row>
    <row r="10" spans="1:18" ht="12.75" customHeight="1">
      <c r="A10" s="472"/>
      <c r="B10" s="455" t="s">
        <v>109</v>
      </c>
      <c r="C10" s="359">
        <v>1.3651</v>
      </c>
      <c r="D10" s="360">
        <v>2.6977000000000002</v>
      </c>
      <c r="E10" s="359"/>
      <c r="F10" s="368">
        <v>2.1183999999999998</v>
      </c>
      <c r="G10" s="382"/>
      <c r="H10" s="368">
        <v>42.09</v>
      </c>
      <c r="I10" s="367">
        <v>1.2944</v>
      </c>
      <c r="J10" s="368"/>
      <c r="K10" s="367">
        <v>1.3665</v>
      </c>
      <c r="L10" s="368">
        <v>2.6854</v>
      </c>
      <c r="M10" s="367"/>
      <c r="N10" s="368">
        <v>2.1255000000000002</v>
      </c>
      <c r="O10" s="382"/>
      <c r="P10" s="368">
        <v>42.47</v>
      </c>
      <c r="Q10" s="367">
        <v>1.3112999999999999</v>
      </c>
      <c r="R10" s="361"/>
    </row>
    <row r="11" spans="1:18" ht="12.75" customHeight="1">
      <c r="A11" s="472"/>
      <c r="B11" s="455" t="s">
        <v>110</v>
      </c>
      <c r="C11" s="359">
        <v>1.3615999999999999</v>
      </c>
      <c r="D11" s="360">
        <v>2.7141999999999999</v>
      </c>
      <c r="E11" s="359"/>
      <c r="F11" s="368">
        <v>2.1493000000000002</v>
      </c>
      <c r="G11" s="382"/>
      <c r="H11" s="368">
        <v>41.68</v>
      </c>
      <c r="I11" s="367">
        <v>1.2819</v>
      </c>
      <c r="J11" s="368"/>
      <c r="K11" s="367">
        <v>1.3675999999999999</v>
      </c>
      <c r="L11" s="368">
        <v>2.6880000000000002</v>
      </c>
      <c r="M11" s="367"/>
      <c r="N11" s="368">
        <v>2.1276999999999999</v>
      </c>
      <c r="O11" s="382"/>
      <c r="P11" s="368">
        <v>41.97</v>
      </c>
      <c r="Q11" s="367">
        <v>1.2793000000000001</v>
      </c>
      <c r="R11" s="361"/>
    </row>
    <row r="12" spans="1:18" ht="12.75" customHeight="1">
      <c r="A12" s="472"/>
      <c r="B12" s="455" t="s">
        <v>111</v>
      </c>
      <c r="C12" s="359">
        <v>1.3675999999999999</v>
      </c>
      <c r="D12" s="360">
        <v>2.7094</v>
      </c>
      <c r="E12" s="359"/>
      <c r="F12" s="368">
        <v>2.1318000000000001</v>
      </c>
      <c r="G12" s="382"/>
      <c r="H12" s="368">
        <v>41.92</v>
      </c>
      <c r="I12" s="367">
        <v>1.2664</v>
      </c>
      <c r="J12" s="368"/>
      <c r="K12" s="367">
        <v>1.3588</v>
      </c>
      <c r="L12" s="368">
        <v>2.7027999999999999</v>
      </c>
      <c r="M12" s="367"/>
      <c r="N12" s="368">
        <v>2.1431</v>
      </c>
      <c r="O12" s="382"/>
      <c r="P12" s="368">
        <v>41.81</v>
      </c>
      <c r="Q12" s="367">
        <v>1.2732000000000001</v>
      </c>
      <c r="R12" s="361"/>
    </row>
    <row r="13" spans="1:18" ht="12.75" customHeight="1">
      <c r="A13" s="472"/>
      <c r="B13" s="455" t="s">
        <v>112</v>
      </c>
      <c r="C13" s="359">
        <v>1.4159999999999999</v>
      </c>
      <c r="D13" s="360">
        <v>2.5933000000000002</v>
      </c>
      <c r="E13" s="359"/>
      <c r="F13" s="368">
        <v>2.0876000000000001</v>
      </c>
      <c r="G13" s="382"/>
      <c r="H13" s="368">
        <v>41.75</v>
      </c>
      <c r="I13" s="367">
        <v>1.2978000000000001</v>
      </c>
      <c r="J13" s="368"/>
      <c r="K13" s="367">
        <v>1.4029</v>
      </c>
      <c r="L13" s="368">
        <v>2.6549999999999998</v>
      </c>
      <c r="M13" s="367"/>
      <c r="N13" s="368">
        <v>2.1029</v>
      </c>
      <c r="O13" s="382"/>
      <c r="P13" s="368">
        <v>42.16</v>
      </c>
      <c r="Q13" s="367">
        <v>1.2838000000000001</v>
      </c>
      <c r="R13" s="361"/>
    </row>
    <row r="14" spans="1:18" ht="12.75" customHeight="1">
      <c r="A14" s="472"/>
      <c r="B14" s="455" t="s">
        <v>113</v>
      </c>
      <c r="C14" s="359">
        <v>1.4314</v>
      </c>
      <c r="D14" s="360">
        <v>2.5775000000000001</v>
      </c>
      <c r="E14" s="359"/>
      <c r="F14" s="368">
        <v>2.0558000000000001</v>
      </c>
      <c r="G14" s="382"/>
      <c r="H14" s="368">
        <v>41.4</v>
      </c>
      <c r="I14" s="367">
        <v>1.3732</v>
      </c>
      <c r="J14" s="368"/>
      <c r="K14" s="367">
        <v>1.4287000000000001</v>
      </c>
      <c r="L14" s="368">
        <v>2.5716999999999999</v>
      </c>
      <c r="M14" s="367"/>
      <c r="N14" s="368">
        <v>2.0564</v>
      </c>
      <c r="O14" s="382"/>
      <c r="P14" s="368">
        <v>41.53</v>
      </c>
      <c r="Q14" s="367">
        <v>1.3403</v>
      </c>
      <c r="R14" s="361"/>
    </row>
    <row r="15" spans="1:18" ht="12.75" customHeight="1">
      <c r="A15" s="472"/>
      <c r="B15" s="455" t="s">
        <v>114</v>
      </c>
      <c r="C15" s="359">
        <v>1.4806999999999999</v>
      </c>
      <c r="D15" s="360">
        <v>2.4249000000000001</v>
      </c>
      <c r="E15" s="359"/>
      <c r="F15" s="368">
        <v>1.9016999999999999</v>
      </c>
      <c r="G15" s="382"/>
      <c r="H15" s="368">
        <v>41.56</v>
      </c>
      <c r="I15" s="367">
        <v>1.5028999999999999</v>
      </c>
      <c r="J15" s="368"/>
      <c r="K15" s="367">
        <v>1.4762999999999999</v>
      </c>
      <c r="L15" s="368">
        <v>2.5066000000000002</v>
      </c>
      <c r="M15" s="367"/>
      <c r="N15" s="368">
        <v>1.9678</v>
      </c>
      <c r="O15" s="382"/>
      <c r="P15" s="368">
        <v>41.9</v>
      </c>
      <c r="Q15" s="367">
        <v>1.4731000000000001</v>
      </c>
      <c r="R15" s="361"/>
    </row>
    <row r="16" spans="1:18" ht="12.75" customHeight="1">
      <c r="A16" s="472"/>
      <c r="B16" s="455" t="s">
        <v>115</v>
      </c>
      <c r="C16" s="359">
        <v>1.5072000000000001</v>
      </c>
      <c r="D16" s="360">
        <v>2.3201999999999998</v>
      </c>
      <c r="E16" s="359"/>
      <c r="F16" s="368">
        <v>1.9440999999999999</v>
      </c>
      <c r="G16" s="382"/>
      <c r="H16" s="368">
        <v>41.66</v>
      </c>
      <c r="I16" s="367">
        <v>1.5818000000000001</v>
      </c>
      <c r="J16" s="368"/>
      <c r="K16" s="367">
        <v>1.5066999999999999</v>
      </c>
      <c r="L16" s="368">
        <v>2.3098999999999998</v>
      </c>
      <c r="M16" s="367"/>
      <c r="N16" s="368">
        <v>1.9166000000000001</v>
      </c>
      <c r="O16" s="382"/>
      <c r="P16" s="368">
        <v>42</v>
      </c>
      <c r="Q16" s="367">
        <v>1.5550999999999999</v>
      </c>
      <c r="R16" s="361"/>
    </row>
    <row r="17" spans="1:18" ht="12.75" customHeight="1">
      <c r="A17" s="473"/>
      <c r="B17" s="456" t="s">
        <v>116</v>
      </c>
      <c r="C17" s="362">
        <v>1.4392</v>
      </c>
      <c r="D17" s="363">
        <v>2.0769000000000002</v>
      </c>
      <c r="E17" s="362"/>
      <c r="F17" s="370">
        <v>2.0257999999999998</v>
      </c>
      <c r="G17" s="383"/>
      <c r="H17" s="370">
        <v>41.55</v>
      </c>
      <c r="I17" s="369">
        <v>1.5924</v>
      </c>
      <c r="J17" s="370"/>
      <c r="K17" s="369">
        <v>1.4778</v>
      </c>
      <c r="L17" s="370">
        <v>2.2079</v>
      </c>
      <c r="M17" s="369"/>
      <c r="N17" s="370">
        <v>1.9972000000000001</v>
      </c>
      <c r="O17" s="383"/>
      <c r="P17" s="370">
        <v>41.65</v>
      </c>
      <c r="Q17" s="369">
        <v>1.6197999999999999</v>
      </c>
      <c r="R17" s="364"/>
    </row>
    <row r="18" spans="1:18" ht="12.75" customHeight="1">
      <c r="A18" s="472">
        <v>2009</v>
      </c>
      <c r="B18" s="455" t="s">
        <v>105</v>
      </c>
      <c r="C18" s="689">
        <v>1.5082</v>
      </c>
      <c r="D18" s="690">
        <v>2.141</v>
      </c>
      <c r="E18" s="689"/>
      <c r="F18" s="372">
        <v>1.9447000000000001</v>
      </c>
      <c r="G18" s="691"/>
      <c r="H18" s="372">
        <v>41.79</v>
      </c>
      <c r="I18" s="371">
        <v>1.6879</v>
      </c>
      <c r="J18" s="372"/>
      <c r="K18" s="371">
        <v>1.488</v>
      </c>
      <c r="L18" s="372">
        <v>2.1629999999999998</v>
      </c>
      <c r="M18" s="371"/>
      <c r="N18" s="372">
        <v>1.982</v>
      </c>
      <c r="O18" s="691"/>
      <c r="P18" s="372">
        <v>41.73</v>
      </c>
      <c r="Q18" s="371">
        <v>1.6443000000000001</v>
      </c>
      <c r="R18" s="373"/>
    </row>
    <row r="19" spans="1:18" ht="12.75" customHeight="1">
      <c r="A19" s="472"/>
      <c r="B19" s="455" t="s">
        <v>106</v>
      </c>
      <c r="C19" s="359">
        <v>1.5411999999999999</v>
      </c>
      <c r="D19" s="360">
        <v>2.1998000000000002</v>
      </c>
      <c r="E19" s="359"/>
      <c r="F19" s="368">
        <v>1.9599</v>
      </c>
      <c r="G19" s="382"/>
      <c r="H19" s="368">
        <v>41.74</v>
      </c>
      <c r="I19" s="367">
        <v>1.5803</v>
      </c>
      <c r="J19" s="368"/>
      <c r="K19" s="367">
        <v>1.5178</v>
      </c>
      <c r="L19" s="368">
        <v>2.1867999999999999</v>
      </c>
      <c r="M19" s="367"/>
      <c r="N19" s="368">
        <v>1.9415</v>
      </c>
      <c r="O19" s="382"/>
      <c r="P19" s="368">
        <v>41.75</v>
      </c>
      <c r="Q19" s="367">
        <v>1.6432</v>
      </c>
      <c r="R19" s="361"/>
    </row>
    <row r="20" spans="1:18" ht="12.75" customHeight="1">
      <c r="A20" s="472"/>
      <c r="B20" s="455" t="s">
        <v>107</v>
      </c>
      <c r="C20" s="359">
        <v>1.5194000000000001</v>
      </c>
      <c r="D20" s="360">
        <v>2.1770999999999998</v>
      </c>
      <c r="E20" s="359"/>
      <c r="F20" s="368">
        <v>2.0152999999999999</v>
      </c>
      <c r="G20" s="382"/>
      <c r="H20" s="368">
        <v>41.66</v>
      </c>
      <c r="I20" s="367">
        <v>1.5449999999999999</v>
      </c>
      <c r="J20" s="368"/>
      <c r="K20" s="367">
        <v>1.5303</v>
      </c>
      <c r="L20" s="368">
        <v>2.1739000000000002</v>
      </c>
      <c r="M20" s="367"/>
      <c r="N20" s="368">
        <v>1.9973000000000001</v>
      </c>
      <c r="O20" s="382"/>
      <c r="P20" s="368">
        <v>41.64</v>
      </c>
      <c r="Q20" s="367">
        <v>1.5659000000000001</v>
      </c>
      <c r="R20" s="361"/>
    </row>
    <row r="21" spans="1:18" ht="12.75" customHeight="1">
      <c r="A21" s="472"/>
      <c r="B21" s="455" t="s">
        <v>108</v>
      </c>
      <c r="C21" s="359">
        <v>1.4787999999999999</v>
      </c>
      <c r="D21" s="360">
        <v>2.1924999999999999</v>
      </c>
      <c r="E21" s="359"/>
      <c r="F21" s="368">
        <v>1.9690000000000001</v>
      </c>
      <c r="G21" s="382"/>
      <c r="H21" s="368">
        <v>41.55</v>
      </c>
      <c r="I21" s="367">
        <v>1.5186999999999999</v>
      </c>
      <c r="J21" s="368"/>
      <c r="K21" s="367">
        <v>1.5044999999999999</v>
      </c>
      <c r="L21" s="368">
        <v>2.2107999999999999</v>
      </c>
      <c r="M21" s="367"/>
      <c r="N21" s="368">
        <v>1.9853000000000001</v>
      </c>
      <c r="O21" s="382"/>
      <c r="P21" s="368">
        <v>41.68</v>
      </c>
      <c r="Q21" s="367">
        <v>1.5244</v>
      </c>
      <c r="R21" s="361"/>
    </row>
    <row r="22" spans="1:18" ht="12.75" customHeight="1">
      <c r="A22" s="472"/>
      <c r="B22" s="455" t="s">
        <v>109</v>
      </c>
      <c r="C22" s="359">
        <v>1.4504999999999999</v>
      </c>
      <c r="D22" s="360">
        <v>2.3153000000000001</v>
      </c>
      <c r="E22" s="359"/>
      <c r="F22" s="368">
        <v>2.0284</v>
      </c>
      <c r="G22" s="382"/>
      <c r="H22" s="368">
        <v>41.35</v>
      </c>
      <c r="I22" s="367">
        <v>1.5058</v>
      </c>
      <c r="J22" s="368"/>
      <c r="K22" s="367">
        <v>1.4616</v>
      </c>
      <c r="L22" s="368">
        <v>2.2526999999999999</v>
      </c>
      <c r="M22" s="367"/>
      <c r="N22" s="368">
        <v>1.9936</v>
      </c>
      <c r="O22" s="382"/>
      <c r="P22" s="368">
        <v>41.49</v>
      </c>
      <c r="Q22" s="367">
        <v>1.5149999999999999</v>
      </c>
      <c r="R22" s="361"/>
    </row>
    <row r="23" spans="1:18" ht="12.75" customHeight="1">
      <c r="A23" s="472"/>
      <c r="B23" s="455" t="s">
        <v>110</v>
      </c>
      <c r="C23" s="359">
        <v>1.4498</v>
      </c>
      <c r="D23" s="360">
        <v>2.4129</v>
      </c>
      <c r="E23" s="359"/>
      <c r="F23" s="368">
        <v>2.0464000000000002</v>
      </c>
      <c r="G23" s="382"/>
      <c r="H23" s="368">
        <v>41.16</v>
      </c>
      <c r="I23" s="367">
        <v>1.5115000000000001</v>
      </c>
      <c r="J23" s="368"/>
      <c r="K23" s="367">
        <v>1.4522999999999999</v>
      </c>
      <c r="L23" s="368">
        <v>2.3757999999999999</v>
      </c>
      <c r="M23" s="367"/>
      <c r="N23" s="368">
        <v>2.0367999999999999</v>
      </c>
      <c r="O23" s="382"/>
      <c r="P23" s="368">
        <v>41.28</v>
      </c>
      <c r="Q23" s="367">
        <v>1.5046999999999999</v>
      </c>
      <c r="R23" s="361"/>
    </row>
    <row r="24" spans="1:18" ht="12.75" customHeight="1">
      <c r="A24" s="472"/>
      <c r="B24" s="455" t="s">
        <v>111</v>
      </c>
      <c r="C24" s="359">
        <v>1.4408000000000001</v>
      </c>
      <c r="D24" s="360">
        <v>2.3815</v>
      </c>
      <c r="E24" s="359"/>
      <c r="F24" s="368">
        <v>2.0360999999999998</v>
      </c>
      <c r="G24" s="382"/>
      <c r="H24" s="368">
        <v>40.94</v>
      </c>
      <c r="I24" s="367">
        <v>1.5114000000000001</v>
      </c>
      <c r="J24" s="368"/>
      <c r="K24" s="367">
        <v>1.4500999999999999</v>
      </c>
      <c r="L24" s="368">
        <v>2.3730000000000002</v>
      </c>
      <c r="M24" s="367"/>
      <c r="N24" s="368">
        <v>2.0409999999999999</v>
      </c>
      <c r="O24" s="382"/>
      <c r="P24" s="368">
        <v>40.880000000000003</v>
      </c>
      <c r="Q24" s="367">
        <v>1.5351999999999999</v>
      </c>
      <c r="R24" s="361"/>
    </row>
    <row r="25" spans="1:18" ht="12.75" customHeight="1">
      <c r="A25" s="472"/>
      <c r="B25" s="455" t="s">
        <v>112</v>
      </c>
      <c r="C25" s="359">
        <v>1.4419</v>
      </c>
      <c r="D25" s="360">
        <v>2.3409</v>
      </c>
      <c r="E25" s="359"/>
      <c r="F25" s="368">
        <v>2.06</v>
      </c>
      <c r="G25" s="382"/>
      <c r="H25" s="368">
        <v>40.950000000000003</v>
      </c>
      <c r="I25" s="367">
        <v>1.556</v>
      </c>
      <c r="J25" s="368"/>
      <c r="K25" s="367">
        <v>1.4420999999999999</v>
      </c>
      <c r="L25" s="368">
        <v>2.3845000000000001</v>
      </c>
      <c r="M25" s="396"/>
      <c r="N25" s="368">
        <v>2.0568</v>
      </c>
      <c r="O25" s="382"/>
      <c r="P25" s="368">
        <v>40.98</v>
      </c>
      <c r="Q25" s="367">
        <v>1.5229999999999999</v>
      </c>
      <c r="R25" s="361"/>
    </row>
    <row r="26" spans="1:18" ht="12.75" customHeight="1">
      <c r="A26" s="472"/>
      <c r="B26" s="455" t="s">
        <v>113</v>
      </c>
      <c r="C26" s="359">
        <v>1.4140999999999999</v>
      </c>
      <c r="D26" s="360">
        <v>2.2662</v>
      </c>
      <c r="E26" s="359"/>
      <c r="F26" s="368">
        <v>2.0674000000000001</v>
      </c>
      <c r="G26" s="382"/>
      <c r="H26" s="368">
        <v>40.69</v>
      </c>
      <c r="I26" s="367">
        <v>1.5751999999999999</v>
      </c>
      <c r="J26" s="368"/>
      <c r="K26" s="367">
        <v>1.4242999999999999</v>
      </c>
      <c r="L26" s="368">
        <v>2.3252000000000002</v>
      </c>
      <c r="M26" s="367"/>
      <c r="N26" s="368">
        <v>2.0716000000000001</v>
      </c>
      <c r="O26" s="382"/>
      <c r="P26" s="368">
        <v>40.74</v>
      </c>
      <c r="Q26" s="367">
        <v>1.5573999999999999</v>
      </c>
      <c r="R26" s="361"/>
    </row>
    <row r="27" spans="1:18" ht="12.75" customHeight="1">
      <c r="A27" s="472"/>
      <c r="B27" s="455" t="s">
        <v>114</v>
      </c>
      <c r="C27" s="359">
        <v>1.3968</v>
      </c>
      <c r="D27" s="360">
        <v>2.3153000000000001</v>
      </c>
      <c r="E27" s="359"/>
      <c r="F27" s="368">
        <v>2.0752000000000002</v>
      </c>
      <c r="G27" s="382"/>
      <c r="H27" s="368">
        <v>41</v>
      </c>
      <c r="I27" s="367">
        <v>1.5298</v>
      </c>
      <c r="J27" s="368"/>
      <c r="K27" s="367">
        <v>1.3979999999999999</v>
      </c>
      <c r="L27" s="368">
        <v>2.2623000000000002</v>
      </c>
      <c r="M27" s="367"/>
      <c r="N27" s="368">
        <v>2.0718999999999999</v>
      </c>
      <c r="O27" s="382"/>
      <c r="P27" s="368">
        <v>41.08</v>
      </c>
      <c r="Q27" s="367">
        <v>1.5497000000000001</v>
      </c>
      <c r="R27" s="361"/>
    </row>
    <row r="28" spans="1:18" ht="12.75" customHeight="1">
      <c r="A28" s="472"/>
      <c r="B28" s="455" t="s">
        <v>115</v>
      </c>
      <c r="C28" s="359">
        <v>1.3828</v>
      </c>
      <c r="D28" s="360">
        <v>2.2925</v>
      </c>
      <c r="E28" s="359"/>
      <c r="F28" s="368">
        <v>2.0829</v>
      </c>
      <c r="G28" s="382"/>
      <c r="H28" s="368">
        <v>40.82</v>
      </c>
      <c r="I28" s="367">
        <v>1.5949</v>
      </c>
      <c r="J28" s="368"/>
      <c r="K28" s="367">
        <v>1.3891</v>
      </c>
      <c r="L28" s="368">
        <v>2.3086000000000002</v>
      </c>
      <c r="M28" s="367"/>
      <c r="N28" s="368">
        <v>2.0724999999999998</v>
      </c>
      <c r="O28" s="382"/>
      <c r="P28" s="368">
        <v>40.98</v>
      </c>
      <c r="Q28" s="367">
        <v>1.5548</v>
      </c>
      <c r="R28" s="361"/>
    </row>
    <row r="29" spans="1:18" ht="12.75" customHeight="1">
      <c r="A29" s="473"/>
      <c r="B29" s="456" t="s">
        <v>116</v>
      </c>
      <c r="C29" s="362">
        <v>1.4034</v>
      </c>
      <c r="D29" s="363">
        <v>2.2541000000000002</v>
      </c>
      <c r="E29" s="362"/>
      <c r="F29" s="370">
        <v>2.0163000000000002</v>
      </c>
      <c r="G29" s="383"/>
      <c r="H29" s="370">
        <v>40.97</v>
      </c>
      <c r="I29" s="369">
        <v>1.5194000000000001</v>
      </c>
      <c r="J29" s="370"/>
      <c r="K29" s="369">
        <v>1.3960999999999999</v>
      </c>
      <c r="L29" s="370">
        <v>2.2675999999999998</v>
      </c>
      <c r="M29" s="369"/>
      <c r="N29" s="370">
        <v>2.0398999999999998</v>
      </c>
      <c r="O29" s="383"/>
      <c r="P29" s="370">
        <v>40.909999999999997</v>
      </c>
      <c r="Q29" s="369">
        <v>1.5568</v>
      </c>
      <c r="R29" s="364"/>
    </row>
    <row r="30" spans="1:18" ht="12.75" customHeight="1">
      <c r="A30" s="472">
        <v>2010</v>
      </c>
      <c r="B30" s="455" t="s">
        <v>105</v>
      </c>
      <c r="C30" s="689">
        <v>1.4071</v>
      </c>
      <c r="D30" s="690">
        <v>2.2484999999999999</v>
      </c>
      <c r="E30" s="689">
        <v>1.2430000000000001</v>
      </c>
      <c r="F30" s="372">
        <v>1.9505999999999999</v>
      </c>
      <c r="G30" s="371">
        <v>18.12</v>
      </c>
      <c r="H30" s="372">
        <v>41.2</v>
      </c>
      <c r="I30" s="371">
        <v>1.5582</v>
      </c>
      <c r="J30" s="372">
        <v>4.24</v>
      </c>
      <c r="K30" s="371">
        <v>1.3975000000000002</v>
      </c>
      <c r="L30" s="372">
        <v>2.2578999999999998</v>
      </c>
      <c r="M30" s="371">
        <v>1.2742</v>
      </c>
      <c r="N30" s="372">
        <v>1.9942</v>
      </c>
      <c r="O30" s="371">
        <v>18</v>
      </c>
      <c r="P30" s="372">
        <v>41.37</v>
      </c>
      <c r="Q30" s="371">
        <v>1.532</v>
      </c>
      <c r="R30" s="373">
        <v>4.2300000000000004</v>
      </c>
    </row>
    <row r="31" spans="1:18" ht="12.75" customHeight="1">
      <c r="A31" s="472"/>
      <c r="B31" s="455" t="s">
        <v>106</v>
      </c>
      <c r="C31" s="359">
        <v>1.4063000000000001</v>
      </c>
      <c r="D31" s="360">
        <v>2.1425999999999998</v>
      </c>
      <c r="E31" s="359">
        <v>1.2593000000000001</v>
      </c>
      <c r="F31" s="368">
        <v>1.9171</v>
      </c>
      <c r="G31" s="367">
        <v>18.12</v>
      </c>
      <c r="H31" s="368">
        <v>41.4</v>
      </c>
      <c r="I31" s="367">
        <v>1.5811999999999999</v>
      </c>
      <c r="J31" s="368">
        <v>4.25</v>
      </c>
      <c r="K31" s="367">
        <v>1.41265</v>
      </c>
      <c r="L31" s="368">
        <v>2.2069000000000001</v>
      </c>
      <c r="M31" s="367">
        <v>1.2531000000000001</v>
      </c>
      <c r="N31" s="368">
        <v>1.9326000000000001</v>
      </c>
      <c r="O31" s="367">
        <v>18.190000000000001</v>
      </c>
      <c r="P31" s="368">
        <v>41.35</v>
      </c>
      <c r="Q31" s="367">
        <v>1.5669999999999999</v>
      </c>
      <c r="R31" s="361">
        <v>4.26</v>
      </c>
    </row>
    <row r="32" spans="1:18" ht="12.75" customHeight="1">
      <c r="A32" s="472"/>
      <c r="B32" s="455" t="s">
        <v>107</v>
      </c>
      <c r="C32" s="359">
        <v>1.399</v>
      </c>
      <c r="D32" s="360">
        <v>2.1240999999999999</v>
      </c>
      <c r="E32" s="359">
        <v>1.2831999999999999</v>
      </c>
      <c r="F32" s="368">
        <v>1.89</v>
      </c>
      <c r="G32" s="367">
        <v>18.02</v>
      </c>
      <c r="H32" s="368">
        <v>42.89</v>
      </c>
      <c r="I32" s="367">
        <v>1.4968999999999999</v>
      </c>
      <c r="J32" s="368">
        <v>4.33</v>
      </c>
      <c r="K32" s="367">
        <v>1.3999782608695654</v>
      </c>
      <c r="L32" s="368">
        <v>2.1082999999999998</v>
      </c>
      <c r="M32" s="367">
        <v>1.2776000000000001</v>
      </c>
      <c r="N32" s="368">
        <v>1.9000999999999999</v>
      </c>
      <c r="O32" s="367">
        <v>18.04</v>
      </c>
      <c r="P32" s="368">
        <v>42.16</v>
      </c>
      <c r="Q32" s="367">
        <v>1.5434000000000001</v>
      </c>
      <c r="R32" s="361">
        <v>4.3099999999999996</v>
      </c>
    </row>
    <row r="33" spans="1:18" ht="12.75" customHeight="1">
      <c r="A33" s="472"/>
      <c r="B33" s="455" t="s">
        <v>108</v>
      </c>
      <c r="C33" s="359">
        <v>1.3706</v>
      </c>
      <c r="D33" s="360">
        <v>2.0933000000000002</v>
      </c>
      <c r="E33" s="359">
        <v>1.2668999999999999</v>
      </c>
      <c r="F33" s="368">
        <v>1.8224</v>
      </c>
      <c r="G33" s="367">
        <v>17.649999999999999</v>
      </c>
      <c r="H33" s="368">
        <v>42.97</v>
      </c>
      <c r="I33" s="367">
        <v>1.4601999999999999</v>
      </c>
      <c r="J33" s="368">
        <v>4.25</v>
      </c>
      <c r="K33" s="367">
        <v>1.3819227272727272</v>
      </c>
      <c r="L33" s="368">
        <v>2.1194000000000002</v>
      </c>
      <c r="M33" s="367">
        <v>1.2806</v>
      </c>
      <c r="N33" s="368">
        <v>1.8555999999999999</v>
      </c>
      <c r="O33" s="367">
        <v>17.8</v>
      </c>
      <c r="P33" s="368">
        <v>43.1</v>
      </c>
      <c r="Q33" s="367">
        <v>1.4782</v>
      </c>
      <c r="R33" s="361">
        <v>4.28</v>
      </c>
    </row>
    <row r="34" spans="1:18" ht="12.75" customHeight="1">
      <c r="A34" s="472"/>
      <c r="B34" s="455" t="s">
        <v>109</v>
      </c>
      <c r="C34" s="359">
        <v>1.3993</v>
      </c>
      <c r="D34" s="360">
        <v>2.0344000000000002</v>
      </c>
      <c r="E34" s="359">
        <v>1.1840999999999999</v>
      </c>
      <c r="F34" s="368">
        <v>1.7217</v>
      </c>
      <c r="G34" s="367">
        <v>17.97</v>
      </c>
      <c r="H34" s="368">
        <v>42.88</v>
      </c>
      <c r="I34" s="367">
        <v>1.5337000000000001</v>
      </c>
      <c r="J34" s="368">
        <v>4.3</v>
      </c>
      <c r="K34" s="367">
        <v>1.3947904761904764</v>
      </c>
      <c r="L34" s="368">
        <v>2.0440999999999998</v>
      </c>
      <c r="M34" s="367">
        <v>1.2115</v>
      </c>
      <c r="N34" s="368">
        <v>1.748</v>
      </c>
      <c r="O34" s="367">
        <v>17.91</v>
      </c>
      <c r="P34" s="368">
        <v>42.85</v>
      </c>
      <c r="Q34" s="367">
        <v>1.5185999999999999</v>
      </c>
      <c r="R34" s="361">
        <v>4.3</v>
      </c>
    </row>
    <row r="35" spans="1:18" ht="12.75" customHeight="1">
      <c r="A35" s="472"/>
      <c r="B35" s="455" t="s">
        <v>110</v>
      </c>
      <c r="C35" s="359">
        <v>1.3995</v>
      </c>
      <c r="D35" s="360">
        <v>2.0914000000000001</v>
      </c>
      <c r="E35" s="359">
        <v>1.1766000000000001</v>
      </c>
      <c r="F35" s="368">
        <v>1.7124999999999999</v>
      </c>
      <c r="G35" s="367">
        <v>17.97</v>
      </c>
      <c r="H35" s="368">
        <v>43.39</v>
      </c>
      <c r="I35" s="367">
        <v>1.5825</v>
      </c>
      <c r="J35" s="368">
        <v>4.32</v>
      </c>
      <c r="K35" s="367">
        <v>1.3984045454545453</v>
      </c>
      <c r="L35" s="368">
        <v>2.0636999999999999</v>
      </c>
      <c r="M35" s="367">
        <v>1.1923999999999999</v>
      </c>
      <c r="N35" s="368">
        <v>1.7075</v>
      </c>
      <c r="O35" s="367">
        <v>17.96</v>
      </c>
      <c r="P35" s="368">
        <v>42.83</v>
      </c>
      <c r="Q35" s="367">
        <v>1.5402</v>
      </c>
      <c r="R35" s="361">
        <v>4.3099999999999996</v>
      </c>
    </row>
    <row r="36" spans="1:18" ht="12.75" customHeight="1">
      <c r="A36" s="472"/>
      <c r="B36" s="455" t="s">
        <v>111</v>
      </c>
      <c r="C36" s="359">
        <v>1.3602000000000001</v>
      </c>
      <c r="D36" s="360">
        <v>2.1349</v>
      </c>
      <c r="E36" s="359">
        <v>1.2302</v>
      </c>
      <c r="F36" s="368">
        <v>1.7753000000000001</v>
      </c>
      <c r="G36" s="367">
        <v>17.510000000000002</v>
      </c>
      <c r="H36" s="368">
        <v>42.69</v>
      </c>
      <c r="I36" s="367">
        <v>1.5731999999999999</v>
      </c>
      <c r="J36" s="368">
        <v>4.22</v>
      </c>
      <c r="K36" s="367">
        <v>1.3763227272727272</v>
      </c>
      <c r="L36" s="368">
        <v>2.1057999999999999</v>
      </c>
      <c r="M36" s="367">
        <v>1.2081999999999999</v>
      </c>
      <c r="N36" s="368">
        <v>1.762</v>
      </c>
      <c r="O36" s="367">
        <v>17.7</v>
      </c>
      <c r="P36" s="368">
        <v>42.94</v>
      </c>
      <c r="Q36" s="367">
        <v>1.5719000000000001</v>
      </c>
      <c r="R36" s="361">
        <v>4.26</v>
      </c>
    </row>
    <row r="37" spans="1:18" ht="12.75" customHeight="1">
      <c r="A37" s="472"/>
      <c r="B37" s="455" t="s">
        <v>112</v>
      </c>
      <c r="C37" s="359">
        <v>1.3559000000000001</v>
      </c>
      <c r="D37" s="360">
        <v>2.081</v>
      </c>
      <c r="E37" s="359">
        <v>1.2077</v>
      </c>
      <c r="F37" s="368">
        <v>1.7191000000000001</v>
      </c>
      <c r="G37" s="367">
        <v>17.43</v>
      </c>
      <c r="H37" s="368">
        <v>43.11</v>
      </c>
      <c r="I37" s="367">
        <v>1.6106</v>
      </c>
      <c r="J37" s="368">
        <v>4.34</v>
      </c>
      <c r="K37" s="367">
        <v>1.3554909090909093</v>
      </c>
      <c r="L37" s="368">
        <v>2.1215999999999999</v>
      </c>
      <c r="M37" s="367">
        <v>1.2202999999999999</v>
      </c>
      <c r="N37" s="368">
        <v>1.7481</v>
      </c>
      <c r="O37" s="367">
        <v>17.440000000000001</v>
      </c>
      <c r="P37" s="368">
        <v>42.99</v>
      </c>
      <c r="Q37" s="367">
        <v>1.5878000000000001</v>
      </c>
      <c r="R37" s="361">
        <v>4.2699999999999996</v>
      </c>
    </row>
    <row r="38" spans="1:18" ht="12.75" customHeight="1">
      <c r="A38" s="472"/>
      <c r="B38" s="455" t="s">
        <v>113</v>
      </c>
      <c r="C38" s="359">
        <v>1.3164</v>
      </c>
      <c r="D38" s="360">
        <v>2.0684999999999998</v>
      </c>
      <c r="E38" s="359">
        <v>1.2728999999999999</v>
      </c>
      <c r="F38" s="368">
        <v>1.7947</v>
      </c>
      <c r="G38" s="367">
        <v>16.96</v>
      </c>
      <c r="H38" s="368">
        <v>42.68</v>
      </c>
      <c r="I38" s="367">
        <v>1.5760000000000001</v>
      </c>
      <c r="J38" s="368">
        <v>4.34</v>
      </c>
      <c r="K38" s="367">
        <v>1.3340909090909092</v>
      </c>
      <c r="L38" s="368">
        <v>2.0775000000000001</v>
      </c>
      <c r="M38" s="367">
        <v>1.2522</v>
      </c>
      <c r="N38" s="368">
        <v>1.7463</v>
      </c>
      <c r="O38" s="367">
        <v>17.18</v>
      </c>
      <c r="P38" s="368">
        <v>42.98</v>
      </c>
      <c r="Q38" s="367">
        <v>1.5810999999999999</v>
      </c>
      <c r="R38" s="361">
        <v>4.33</v>
      </c>
    </row>
    <row r="39" spans="1:18" ht="12.75" customHeight="1">
      <c r="A39" s="472"/>
      <c r="B39" s="455" t="s">
        <v>114</v>
      </c>
      <c r="C39" s="359">
        <v>1.2939000000000001</v>
      </c>
      <c r="D39" s="360">
        <v>2.0748000000000002</v>
      </c>
      <c r="E39" s="359">
        <v>1.2725</v>
      </c>
      <c r="F39" s="368">
        <v>1.8043</v>
      </c>
      <c r="G39" s="367">
        <v>16.690000000000001</v>
      </c>
      <c r="H39" s="368">
        <v>41.71</v>
      </c>
      <c r="I39" s="367">
        <v>1.6095999999999999</v>
      </c>
      <c r="J39" s="368">
        <v>4.33</v>
      </c>
      <c r="K39" s="367">
        <v>1.3028428571428574</v>
      </c>
      <c r="L39" s="368">
        <v>2.0657999999999999</v>
      </c>
      <c r="M39" s="367">
        <v>1.2789999999999999</v>
      </c>
      <c r="N39" s="368">
        <v>1.8109</v>
      </c>
      <c r="O39" s="367">
        <v>16.79</v>
      </c>
      <c r="P39" s="368">
        <v>42.03</v>
      </c>
      <c r="Q39" s="367">
        <v>1.5929</v>
      </c>
      <c r="R39" s="361">
        <v>4.3499999999999996</v>
      </c>
    </row>
    <row r="40" spans="1:18" ht="12.75" customHeight="1">
      <c r="A40" s="472"/>
      <c r="B40" s="455" t="s">
        <v>115</v>
      </c>
      <c r="C40" s="359">
        <v>1.3204</v>
      </c>
      <c r="D40" s="360">
        <v>2.0545</v>
      </c>
      <c r="E40" s="359">
        <v>1.2659</v>
      </c>
      <c r="F40" s="368">
        <v>1.714</v>
      </c>
      <c r="G40" s="367">
        <v>17</v>
      </c>
      <c r="H40" s="368">
        <v>41.65</v>
      </c>
      <c r="I40" s="367">
        <v>1.5775999999999999</v>
      </c>
      <c r="J40" s="368">
        <v>4.37</v>
      </c>
      <c r="K40" s="367">
        <v>1.298913636363636</v>
      </c>
      <c r="L40" s="368">
        <v>2.0718000000000001</v>
      </c>
      <c r="M40" s="367">
        <v>1.2843</v>
      </c>
      <c r="N40" s="368">
        <v>1.7714000000000001</v>
      </c>
      <c r="O40" s="367">
        <v>16.75</v>
      </c>
      <c r="P40" s="368">
        <v>41.64</v>
      </c>
      <c r="Q40" s="367">
        <v>1.573</v>
      </c>
      <c r="R40" s="361">
        <v>4.3499999999999996</v>
      </c>
    </row>
    <row r="41" spans="1:18" ht="12.75" customHeight="1">
      <c r="A41" s="473"/>
      <c r="B41" s="456" t="s">
        <v>116</v>
      </c>
      <c r="C41" s="362">
        <v>1.2834000000000001</v>
      </c>
      <c r="D41" s="363">
        <v>2.0036</v>
      </c>
      <c r="E41" s="362">
        <v>1.3132999999999999</v>
      </c>
      <c r="F41" s="370">
        <v>1.7181</v>
      </c>
      <c r="G41" s="369">
        <v>16.510000000000002</v>
      </c>
      <c r="H41" s="370">
        <v>41.94</v>
      </c>
      <c r="I41" s="369">
        <v>1.5812999999999999</v>
      </c>
      <c r="J41" s="370">
        <v>4.2699999999999996</v>
      </c>
      <c r="K41" s="369">
        <v>1.3053043478260871</v>
      </c>
      <c r="L41" s="370">
        <v>2.0362</v>
      </c>
      <c r="M41" s="369">
        <v>1.2990999999999999</v>
      </c>
      <c r="N41" s="370">
        <v>1.7265999999999999</v>
      </c>
      <c r="O41" s="369">
        <v>16.79</v>
      </c>
      <c r="P41" s="370">
        <v>41.8</v>
      </c>
      <c r="Q41" s="369">
        <v>1.5685</v>
      </c>
      <c r="R41" s="364">
        <v>4.34</v>
      </c>
    </row>
    <row r="42" spans="1:18" ht="14.5">
      <c r="A42" s="472">
        <v>2011</v>
      </c>
      <c r="B42" s="455" t="s">
        <v>105</v>
      </c>
      <c r="C42" s="689">
        <v>1.2865</v>
      </c>
      <c r="D42" s="690">
        <v>2.0455000000000001</v>
      </c>
      <c r="E42" s="689">
        <v>1.276</v>
      </c>
      <c r="F42" s="372">
        <v>1.7516</v>
      </c>
      <c r="G42" s="371">
        <v>16.41</v>
      </c>
      <c r="H42" s="372">
        <v>41.87</v>
      </c>
      <c r="I42" s="371">
        <v>1.5591999999999999</v>
      </c>
      <c r="J42" s="372">
        <v>4.1500000000000004</v>
      </c>
      <c r="K42" s="371">
        <v>1.2879</v>
      </c>
      <c r="L42" s="372">
        <v>2.0302761904761901</v>
      </c>
      <c r="M42" s="371">
        <v>1.2816523809523812</v>
      </c>
      <c r="N42" s="372">
        <v>1.7201666666666671</v>
      </c>
      <c r="O42" s="371">
        <v>16.531904761904801</v>
      </c>
      <c r="P42" s="372">
        <v>42.028571428571396</v>
      </c>
      <c r="Q42" s="371">
        <v>1.5567952380952381</v>
      </c>
      <c r="R42" s="373">
        <v>4.21285714285714</v>
      </c>
    </row>
    <row r="43" spans="1:18" ht="14.5">
      <c r="A43" s="472"/>
      <c r="B43" s="455" t="s">
        <v>106</v>
      </c>
      <c r="C43" s="359">
        <v>1.2738</v>
      </c>
      <c r="D43" s="360">
        <v>2.0672000000000001</v>
      </c>
      <c r="E43" s="359">
        <v>1.2951999999999999</v>
      </c>
      <c r="F43" s="368">
        <v>1.7556</v>
      </c>
      <c r="G43" s="367">
        <v>16.329999999999998</v>
      </c>
      <c r="H43" s="368">
        <v>41.74</v>
      </c>
      <c r="I43" s="367">
        <v>1.5548</v>
      </c>
      <c r="J43" s="368">
        <v>4.1500000000000004</v>
      </c>
      <c r="K43" s="367">
        <v>1.2774000000000001</v>
      </c>
      <c r="L43" s="368">
        <v>2.0590400000000004</v>
      </c>
      <c r="M43" s="367">
        <v>1.287595</v>
      </c>
      <c r="N43" s="368">
        <v>1.7431449999999997</v>
      </c>
      <c r="O43" s="367">
        <v>16.38</v>
      </c>
      <c r="P43" s="368">
        <v>41.935499999999998</v>
      </c>
      <c r="Q43" s="367">
        <v>1.5453150000000002</v>
      </c>
      <c r="R43" s="361">
        <v>4.1550000000000002</v>
      </c>
    </row>
    <row r="44" spans="1:18" ht="14.5">
      <c r="A44" s="472"/>
      <c r="B44" s="455" t="s">
        <v>107</v>
      </c>
      <c r="C44" s="359">
        <v>1.2617</v>
      </c>
      <c r="D44" s="360">
        <v>2.0205000000000002</v>
      </c>
      <c r="E44" s="359">
        <v>1.3022</v>
      </c>
      <c r="F44" s="368">
        <v>1.7846</v>
      </c>
      <c r="G44" s="367">
        <v>16.21</v>
      </c>
      <c r="H44" s="368">
        <v>41.7</v>
      </c>
      <c r="I44" s="367">
        <v>1.5163</v>
      </c>
      <c r="J44" s="368">
        <v>4.16</v>
      </c>
      <c r="K44" s="367">
        <v>1.2688999999999999</v>
      </c>
      <c r="L44" s="368">
        <v>2.0486739130434786</v>
      </c>
      <c r="M44" s="367">
        <v>1.2824695652173914</v>
      </c>
      <c r="N44" s="368">
        <v>1.7775521739130438</v>
      </c>
      <c r="O44" s="367">
        <v>16.273478260869599</v>
      </c>
      <c r="P44" s="368">
        <v>41.796521739130398</v>
      </c>
      <c r="Q44" s="367">
        <v>1.5533869565217393</v>
      </c>
      <c r="R44" s="361">
        <v>4.1778260869565198</v>
      </c>
    </row>
    <row r="45" spans="1:18" ht="14.5">
      <c r="A45" s="472"/>
      <c r="B45" s="455" t="s">
        <v>108</v>
      </c>
      <c r="C45" s="359">
        <v>1.2277</v>
      </c>
      <c r="D45" s="360">
        <v>2.0459999999999998</v>
      </c>
      <c r="E45" s="359">
        <v>1.3435999999999999</v>
      </c>
      <c r="F45" s="368">
        <v>1.8129999999999999</v>
      </c>
      <c r="G45" s="367">
        <v>15.77</v>
      </c>
      <c r="H45" s="368">
        <v>41.37</v>
      </c>
      <c r="I45" s="367">
        <v>1.5075000000000001</v>
      </c>
      <c r="J45" s="368">
        <v>4.0999999999999996</v>
      </c>
      <c r="K45" s="367">
        <v>1.248</v>
      </c>
      <c r="L45" s="368">
        <v>2.041609523809524</v>
      </c>
      <c r="M45" s="367">
        <v>1.3206619047619048</v>
      </c>
      <c r="N45" s="368">
        <v>1.8031333333333333</v>
      </c>
      <c r="O45" s="367">
        <v>16.030952380952399</v>
      </c>
      <c r="P45" s="368">
        <v>41.392380952380897</v>
      </c>
      <c r="Q45" s="367">
        <v>1.498261904761905</v>
      </c>
      <c r="R45" s="361">
        <v>4.1471428571428604</v>
      </c>
    </row>
    <row r="46" spans="1:18" ht="14.5">
      <c r="A46" s="472"/>
      <c r="B46" s="455" t="s">
        <v>109</v>
      </c>
      <c r="C46" s="359">
        <v>1.2327999999999999</v>
      </c>
      <c r="D46" s="360">
        <v>2.0286</v>
      </c>
      <c r="E46" s="359">
        <v>1.3162</v>
      </c>
      <c r="F46" s="368">
        <v>1.7758</v>
      </c>
      <c r="G46" s="367">
        <v>15.86</v>
      </c>
      <c r="H46" s="368">
        <v>40.94</v>
      </c>
      <c r="I46" s="367">
        <v>1.5128999999999999</v>
      </c>
      <c r="J46" s="368">
        <v>4.07</v>
      </c>
      <c r="K46" s="367">
        <v>1.2374000000000001</v>
      </c>
      <c r="L46" s="368">
        <v>2.0234454545454543</v>
      </c>
      <c r="M46" s="367">
        <v>1.3223090909090909</v>
      </c>
      <c r="N46" s="368">
        <v>1.7743590909090905</v>
      </c>
      <c r="O46" s="367">
        <v>15.931818181818199</v>
      </c>
      <c r="P46" s="368">
        <v>41.060909090909099</v>
      </c>
      <c r="Q46" s="367">
        <v>1.526536363636364</v>
      </c>
      <c r="R46" s="361">
        <v>4.0949999999999998</v>
      </c>
    </row>
    <row r="47" spans="1:18" ht="14.5">
      <c r="A47" s="472"/>
      <c r="B47" s="455" t="s">
        <v>110</v>
      </c>
      <c r="C47" s="359">
        <v>1.2292000000000001</v>
      </c>
      <c r="D47" s="360">
        <v>1.9718</v>
      </c>
      <c r="E47" s="359">
        <v>1.3170999999999999</v>
      </c>
      <c r="F47" s="368">
        <v>1.7811999999999999</v>
      </c>
      <c r="G47" s="367">
        <v>15.79</v>
      </c>
      <c r="H47" s="368">
        <v>40.700000000000003</v>
      </c>
      <c r="I47" s="367">
        <v>1.5246999999999999</v>
      </c>
      <c r="J47" s="368">
        <v>4</v>
      </c>
      <c r="K47" s="367">
        <v>1.2346999999999999</v>
      </c>
      <c r="L47" s="368">
        <v>2.0019909090909089</v>
      </c>
      <c r="M47" s="367">
        <v>1.3098863636363633</v>
      </c>
      <c r="N47" s="368">
        <v>1.7777727272727271</v>
      </c>
      <c r="O47" s="367">
        <v>15.8568181818182</v>
      </c>
      <c r="P47" s="368">
        <v>40.769545454545501</v>
      </c>
      <c r="Q47" s="367">
        <v>1.5341045454545457</v>
      </c>
      <c r="R47" s="361">
        <v>4.0454545454545503</v>
      </c>
    </row>
    <row r="48" spans="1:18" ht="14.5">
      <c r="A48" s="472"/>
      <c r="B48" s="455" t="s">
        <v>111</v>
      </c>
      <c r="C48" s="359">
        <v>1.2040999999999999</v>
      </c>
      <c r="D48" s="360">
        <v>1.9776</v>
      </c>
      <c r="E48" s="359">
        <v>1.3234999999999999</v>
      </c>
      <c r="F48" s="368">
        <v>1.7336</v>
      </c>
      <c r="G48" s="367">
        <v>15.46</v>
      </c>
      <c r="H48" s="368">
        <v>40.58</v>
      </c>
      <c r="I48" s="367">
        <v>1.5683</v>
      </c>
      <c r="J48" s="368">
        <v>4.05</v>
      </c>
      <c r="K48" s="367">
        <v>1.2172000000000001</v>
      </c>
      <c r="L48" s="368">
        <v>1.9647571428571429</v>
      </c>
      <c r="M48" s="367">
        <v>1.3114190476190477</v>
      </c>
      <c r="N48" s="368">
        <v>1.7386476190476188</v>
      </c>
      <c r="O48" s="367">
        <v>15.6161904761905</v>
      </c>
      <c r="P48" s="368">
        <v>40.611428571428597</v>
      </c>
      <c r="Q48" s="367">
        <v>1.5345714285714285</v>
      </c>
      <c r="R48" s="361">
        <v>4.0452380952380897</v>
      </c>
    </row>
    <row r="49" spans="1:18" ht="14.5">
      <c r="A49" s="472"/>
      <c r="B49" s="455" t="s">
        <v>112</v>
      </c>
      <c r="C49" s="359">
        <v>1.2045999999999999</v>
      </c>
      <c r="D49" s="360">
        <v>1.9573</v>
      </c>
      <c r="E49" s="359">
        <v>1.2892999999999999</v>
      </c>
      <c r="F49" s="368">
        <v>1.7306999999999999</v>
      </c>
      <c r="G49" s="367">
        <v>15.47</v>
      </c>
      <c r="H49" s="368">
        <v>40.53</v>
      </c>
      <c r="I49" s="367">
        <v>1.5711999999999999</v>
      </c>
      <c r="J49" s="368">
        <v>4.0199999999999996</v>
      </c>
      <c r="K49" s="367">
        <v>1.2088000000000001</v>
      </c>
      <c r="L49" s="368">
        <v>1.9779521739130437</v>
      </c>
      <c r="M49" s="367">
        <v>1.2700956521739133</v>
      </c>
      <c r="N49" s="368">
        <v>1.7337782608695651</v>
      </c>
      <c r="O49" s="367">
        <v>15.5073913043478</v>
      </c>
      <c r="P49" s="368">
        <v>40.477391304347798</v>
      </c>
      <c r="Q49" s="367">
        <v>1.5693391304347826</v>
      </c>
      <c r="R49" s="361">
        <v>4.0469565217391299</v>
      </c>
    </row>
    <row r="50" spans="1:18" ht="14.5">
      <c r="A50" s="472"/>
      <c r="B50" s="455" t="s">
        <v>113</v>
      </c>
      <c r="C50" s="359">
        <v>1.3003</v>
      </c>
      <c r="D50" s="360">
        <v>2.0373999999999999</v>
      </c>
      <c r="E50" s="359">
        <v>1.2632000000000001</v>
      </c>
      <c r="F50" s="368">
        <v>1.7502</v>
      </c>
      <c r="G50" s="367">
        <v>16.8</v>
      </c>
      <c r="H50" s="368">
        <v>40.76</v>
      </c>
      <c r="I50" s="367">
        <v>1.6971000000000001</v>
      </c>
      <c r="J50" s="368">
        <v>4.1900000000000004</v>
      </c>
      <c r="K50" s="367">
        <v>1.2505999999999999</v>
      </c>
      <c r="L50" s="368">
        <v>1.9762090909090908</v>
      </c>
      <c r="M50" s="367">
        <v>1.2794454545454548</v>
      </c>
      <c r="N50" s="368">
        <v>1.7229999999999996</v>
      </c>
      <c r="O50" s="367">
        <v>16.081363636363601</v>
      </c>
      <c r="P50" s="368">
        <v>40.616818181818203</v>
      </c>
      <c r="Q50" s="367">
        <v>1.6310590909090907</v>
      </c>
      <c r="R50" s="361">
        <v>4.1150000000000002</v>
      </c>
    </row>
    <row r="51" spans="1:18" ht="14.5">
      <c r="A51" s="472"/>
      <c r="B51" s="455" t="s">
        <v>114</v>
      </c>
      <c r="C51" s="359">
        <v>1.2502</v>
      </c>
      <c r="D51" s="360">
        <v>2.0183</v>
      </c>
      <c r="E51" s="359">
        <v>1.3209</v>
      </c>
      <c r="F51" s="368">
        <v>1.7383999999999999</v>
      </c>
      <c r="G51" s="367">
        <v>16.149999999999999</v>
      </c>
      <c r="H51" s="368">
        <v>40.82</v>
      </c>
      <c r="I51" s="367">
        <v>1.605</v>
      </c>
      <c r="J51" s="368">
        <v>4.08</v>
      </c>
      <c r="K51" s="367">
        <v>1.2791999999999999</v>
      </c>
      <c r="L51" s="368">
        <v>2.0122047619047616</v>
      </c>
      <c r="M51" s="367">
        <v>1.2962285714285717</v>
      </c>
      <c r="N51" s="368">
        <v>1.751252380952381</v>
      </c>
      <c r="O51" s="367">
        <v>16.405238095238101</v>
      </c>
      <c r="P51" s="368">
        <v>40.693809523809499</v>
      </c>
      <c r="Q51" s="367">
        <v>1.664204761904762</v>
      </c>
      <c r="R51" s="361">
        <v>4.1357142857142897</v>
      </c>
    </row>
    <row r="52" spans="1:18" ht="14.5">
      <c r="A52" s="472"/>
      <c r="B52" s="455" t="s">
        <v>115</v>
      </c>
      <c r="C52" s="359">
        <v>1.2956000000000001</v>
      </c>
      <c r="D52" s="360">
        <v>2.0125000000000002</v>
      </c>
      <c r="E52" s="359">
        <v>1.3177000000000001</v>
      </c>
      <c r="F52" s="368">
        <v>1.7232000000000001</v>
      </c>
      <c r="G52" s="367">
        <v>16.5</v>
      </c>
      <c r="H52" s="368">
        <v>40.36</v>
      </c>
      <c r="I52" s="367">
        <v>1.6511</v>
      </c>
      <c r="J52" s="368">
        <v>4.1500000000000004</v>
      </c>
      <c r="K52" s="367">
        <v>1.2896000000000001</v>
      </c>
      <c r="L52" s="368">
        <v>2.0368590909090911</v>
      </c>
      <c r="M52" s="367">
        <v>1.3022954545454544</v>
      </c>
      <c r="N52" s="368">
        <v>1.7474590909090908</v>
      </c>
      <c r="O52" s="367">
        <v>16.5690909090909</v>
      </c>
      <c r="P52" s="368">
        <v>40.861818181818201</v>
      </c>
      <c r="Q52" s="367">
        <v>1.6629409090909091</v>
      </c>
      <c r="R52" s="361">
        <v>4.16409090909091</v>
      </c>
    </row>
    <row r="53" spans="1:18" ht="14.5">
      <c r="A53" s="473"/>
      <c r="B53" s="456" t="s">
        <v>116</v>
      </c>
      <c r="C53" s="362">
        <v>1.3007</v>
      </c>
      <c r="D53" s="363">
        <v>2.0152999999999999</v>
      </c>
      <c r="E53" s="362">
        <v>1.3231999999999999</v>
      </c>
      <c r="F53" s="370">
        <v>1.6808000000000001</v>
      </c>
      <c r="G53" s="369">
        <v>16.690000000000001</v>
      </c>
      <c r="H53" s="370">
        <v>40.94</v>
      </c>
      <c r="I53" s="369">
        <v>1.6857</v>
      </c>
      <c r="J53" s="370">
        <v>4.1100000000000003</v>
      </c>
      <c r="K53" s="369">
        <v>1.2957000000000001</v>
      </c>
      <c r="L53" s="370">
        <v>2.0199181818181815</v>
      </c>
      <c r="M53" s="369">
        <v>1.3113363636363635</v>
      </c>
      <c r="N53" s="370">
        <v>1.7035636363636362</v>
      </c>
      <c r="O53" s="369">
        <v>16.660454545454499</v>
      </c>
      <c r="P53" s="370">
        <v>40.984545454545398</v>
      </c>
      <c r="Q53" s="369">
        <v>1.6645545454545454</v>
      </c>
      <c r="R53" s="364">
        <v>4.1540909090909102</v>
      </c>
    </row>
    <row r="54" spans="1:18" ht="14.5">
      <c r="A54" s="472">
        <v>2012</v>
      </c>
      <c r="B54" s="455" t="s">
        <v>105</v>
      </c>
      <c r="C54" s="359">
        <v>1.2583</v>
      </c>
      <c r="D54" s="359">
        <v>1.9830000000000001</v>
      </c>
      <c r="E54" s="359">
        <v>1.3362000000000001</v>
      </c>
      <c r="F54" s="367">
        <v>1.6460999999999999</v>
      </c>
      <c r="G54" s="367">
        <v>16.220000000000002</v>
      </c>
      <c r="H54" s="368">
        <v>41.32</v>
      </c>
      <c r="I54" s="367">
        <v>1.6496</v>
      </c>
      <c r="J54" s="361">
        <v>4.0599999999999996</v>
      </c>
      <c r="K54" s="367">
        <v>1.2787900000000001</v>
      </c>
      <c r="L54" s="368">
        <v>1.9850272727272726</v>
      </c>
      <c r="M54" s="367">
        <v>1.3317818181818182</v>
      </c>
      <c r="N54" s="368">
        <v>1.6509454545454545</v>
      </c>
      <c r="O54" s="367">
        <v>16.473636363636398</v>
      </c>
      <c r="P54" s="368">
        <v>41.097272727272703</v>
      </c>
      <c r="Q54" s="367">
        <v>1.6622863636363638</v>
      </c>
      <c r="R54" s="361">
        <v>4.0563636363636402</v>
      </c>
    </row>
    <row r="55" spans="1:18" ht="14.5">
      <c r="A55" s="472"/>
      <c r="B55" s="455" t="s">
        <v>106</v>
      </c>
      <c r="C55" s="359">
        <v>1.2518</v>
      </c>
      <c r="D55" s="359">
        <v>1.9924999999999999</v>
      </c>
      <c r="E55" s="359">
        <v>1.3432999999999999</v>
      </c>
      <c r="F55" s="367">
        <v>1.6680999999999999</v>
      </c>
      <c r="G55" s="367">
        <v>16.14</v>
      </c>
      <c r="H55" s="368">
        <v>41.699999999999996</v>
      </c>
      <c r="I55" s="367">
        <v>1.5426</v>
      </c>
      <c r="J55" s="361">
        <v>4.1099999999999994</v>
      </c>
      <c r="K55" s="367">
        <v>1.2537</v>
      </c>
      <c r="L55" s="368">
        <v>1.9814904761904761</v>
      </c>
      <c r="M55" s="367">
        <v>1.344957142857143</v>
      </c>
      <c r="N55" s="368">
        <v>1.6596285714285717</v>
      </c>
      <c r="O55" s="367">
        <v>16.168571428571401</v>
      </c>
      <c r="P55" s="368">
        <v>41.472857142857102</v>
      </c>
      <c r="Q55" s="367">
        <v>1.5956619047619049</v>
      </c>
      <c r="R55" s="361">
        <v>4.0828571428571401</v>
      </c>
    </row>
    <row r="56" spans="1:18" ht="14.5">
      <c r="A56" s="472"/>
      <c r="B56" s="455" t="s">
        <v>107</v>
      </c>
      <c r="C56" s="359">
        <v>1.2578</v>
      </c>
      <c r="D56" s="359">
        <v>2.0142000000000002</v>
      </c>
      <c r="E56" s="359">
        <v>1.3015000000000001</v>
      </c>
      <c r="F56" s="367">
        <v>1.6782999999999999</v>
      </c>
      <c r="G56" s="367">
        <v>16.2</v>
      </c>
      <c r="H56" s="368">
        <v>41.08</v>
      </c>
      <c r="I56" s="367">
        <v>1.518</v>
      </c>
      <c r="J56" s="361">
        <v>4.08</v>
      </c>
      <c r="K56" s="367">
        <v>1.258818</v>
      </c>
      <c r="L56" s="368">
        <v>1.9928727272727271</v>
      </c>
      <c r="M56" s="367">
        <v>1.3258545454545454</v>
      </c>
      <c r="N56" s="368">
        <v>1.6633272727272725</v>
      </c>
      <c r="O56" s="367">
        <v>16.217727272727299</v>
      </c>
      <c r="P56" s="368">
        <v>41.316363636363597</v>
      </c>
      <c r="Q56" s="367">
        <v>1.5251227272727272</v>
      </c>
      <c r="R56" s="361">
        <v>4.09772727272727</v>
      </c>
    </row>
    <row r="57" spans="1:18" ht="14.5">
      <c r="A57" s="472"/>
      <c r="B57" s="455" t="s">
        <v>108</v>
      </c>
      <c r="C57" s="359">
        <v>1.2373000000000001</v>
      </c>
      <c r="D57" s="359">
        <v>2.0085999999999999</v>
      </c>
      <c r="E57" s="359">
        <v>1.2905</v>
      </c>
      <c r="F57" s="367">
        <v>1.6379999999999999</v>
      </c>
      <c r="G57" s="367">
        <v>15.950000000000001</v>
      </c>
      <c r="H57" s="368">
        <v>40.880000000000003</v>
      </c>
      <c r="I57" s="367">
        <v>1.55</v>
      </c>
      <c r="J57" s="361">
        <v>4.0199999999999996</v>
      </c>
      <c r="K57" s="367">
        <v>1.2511289999999999</v>
      </c>
      <c r="L57" s="368">
        <v>2.0026047619047622</v>
      </c>
      <c r="M57" s="367">
        <v>1.2951380952380955</v>
      </c>
      <c r="N57" s="368">
        <v>1.6469952380952382</v>
      </c>
      <c r="O57" s="367">
        <v>16.12</v>
      </c>
      <c r="P57" s="368">
        <v>40.879523809523803</v>
      </c>
      <c r="Q57" s="367">
        <v>1.5394285714285711</v>
      </c>
      <c r="R57" s="361">
        <v>4.0519047619047601</v>
      </c>
    </row>
    <row r="58" spans="1:18" ht="14.5">
      <c r="A58" s="472"/>
      <c r="B58" s="455" t="s">
        <v>109</v>
      </c>
      <c r="C58" s="359">
        <v>1.2886</v>
      </c>
      <c r="D58" s="359">
        <v>1.9850000000000001</v>
      </c>
      <c r="E58" s="359">
        <v>1.2543</v>
      </c>
      <c r="F58" s="367">
        <v>1.5932999999999999</v>
      </c>
      <c r="G58" s="367">
        <v>16.600000000000001</v>
      </c>
      <c r="H58" s="368">
        <v>40.57</v>
      </c>
      <c r="I58" s="367">
        <v>1.6453</v>
      </c>
      <c r="J58" s="361">
        <v>4.05</v>
      </c>
      <c r="K58" s="367">
        <v>1.2635479999999999</v>
      </c>
      <c r="L58" s="368">
        <v>2.0096130434782604</v>
      </c>
      <c r="M58" s="367">
        <v>1.2591521739130436</v>
      </c>
      <c r="N58" s="368">
        <v>1.615482608695652</v>
      </c>
      <c r="O58" s="367">
        <v>16.274347826086998</v>
      </c>
      <c r="P58" s="368">
        <v>40.736521739130403</v>
      </c>
      <c r="Q58" s="367">
        <v>1.5859260869565219</v>
      </c>
      <c r="R58" s="361">
        <v>4.0347826086956502</v>
      </c>
    </row>
    <row r="59" spans="1:18" ht="14.5">
      <c r="A59" s="472"/>
      <c r="B59" s="455" t="s">
        <v>110</v>
      </c>
      <c r="C59" s="359">
        <v>1.2653000000000001</v>
      </c>
      <c r="D59" s="359">
        <v>1.9872000000000001</v>
      </c>
      <c r="E59" s="359">
        <v>1.2951999999999999</v>
      </c>
      <c r="F59" s="367">
        <v>1.6022000000000001</v>
      </c>
      <c r="G59" s="367">
        <v>16.309999999999999</v>
      </c>
      <c r="H59" s="368">
        <v>40.14</v>
      </c>
      <c r="I59" s="367">
        <v>1.5857000000000001</v>
      </c>
      <c r="J59" s="361">
        <v>4.01</v>
      </c>
      <c r="K59" s="367">
        <v>1.2783</v>
      </c>
      <c r="L59" s="368">
        <v>1.9887809523809528</v>
      </c>
      <c r="M59" s="367">
        <v>1.2770333333333335</v>
      </c>
      <c r="N59" s="368">
        <v>1.6038666666666668</v>
      </c>
      <c r="O59" s="367">
        <v>16.473333333333301</v>
      </c>
      <c r="P59" s="368">
        <v>40.224761904761898</v>
      </c>
      <c r="Q59" s="367">
        <v>1.6109238095238094</v>
      </c>
      <c r="R59" s="361">
        <v>4.0423809523809497</v>
      </c>
    </row>
    <row r="60" spans="1:18" ht="14.5">
      <c r="A60" s="472"/>
      <c r="B60" s="455" t="s">
        <v>111</v>
      </c>
      <c r="C60" s="359">
        <v>1.2448999999999999</v>
      </c>
      <c r="D60" s="359">
        <v>1.9517</v>
      </c>
      <c r="E60" s="359">
        <v>1.3075000000000001</v>
      </c>
      <c r="F60" s="367">
        <v>1.5316000000000001</v>
      </c>
      <c r="G60" s="367">
        <v>16.05</v>
      </c>
      <c r="H60" s="368">
        <v>39.839999999999996</v>
      </c>
      <c r="I60" s="367">
        <v>1.5934999999999999</v>
      </c>
      <c r="J60" s="361">
        <v>3.95</v>
      </c>
      <c r="K60" s="367">
        <v>1.260486</v>
      </c>
      <c r="L60" s="368">
        <v>1.9661045454545452</v>
      </c>
      <c r="M60" s="367">
        <v>1.2989500000000005</v>
      </c>
      <c r="N60" s="368">
        <v>1.5495181818181818</v>
      </c>
      <c r="O60" s="367">
        <v>16.2513636363636</v>
      </c>
      <c r="P60" s="368">
        <v>39.822272727272697</v>
      </c>
      <c r="Q60" s="367">
        <v>1.5960045454545453</v>
      </c>
      <c r="R60" s="361">
        <v>3.9840909090909098</v>
      </c>
    </row>
    <row r="61" spans="1:18" ht="14.5">
      <c r="A61" s="472"/>
      <c r="B61" s="455" t="s">
        <v>112</v>
      </c>
      <c r="C61" s="359">
        <v>1.2476</v>
      </c>
      <c r="D61" s="359">
        <v>1.9794</v>
      </c>
      <c r="E61" s="359">
        <v>1.2881</v>
      </c>
      <c r="F61" s="367">
        <v>1.569</v>
      </c>
      <c r="G61" s="367">
        <v>16.079999999999998</v>
      </c>
      <c r="H61" s="368">
        <v>39.92</v>
      </c>
      <c r="I61" s="367">
        <v>1.5912999999999999</v>
      </c>
      <c r="J61" s="361">
        <v>3.9899999999999998</v>
      </c>
      <c r="K61" s="367">
        <v>1.24827</v>
      </c>
      <c r="L61" s="368">
        <v>1.9617960000000001</v>
      </c>
      <c r="M61" s="367">
        <v>1.306854</v>
      </c>
      <c r="N61" s="368">
        <v>1.5479419999999999</v>
      </c>
      <c r="O61" s="367">
        <v>16.093800000000002</v>
      </c>
      <c r="P61" s="368">
        <v>40.037100000000002</v>
      </c>
      <c r="Q61" s="367">
        <v>1.5865389999999999</v>
      </c>
      <c r="R61" s="361">
        <v>3.9738000000000002</v>
      </c>
    </row>
    <row r="62" spans="1:18" ht="14.5">
      <c r="A62" s="472"/>
      <c r="B62" s="455" t="s">
        <v>113</v>
      </c>
      <c r="C62" s="359">
        <v>1.2274</v>
      </c>
      <c r="D62" s="359">
        <v>1.9846999999999999</v>
      </c>
      <c r="E62" s="359">
        <v>1.2739</v>
      </c>
      <c r="F62" s="367">
        <v>1.5784</v>
      </c>
      <c r="G62" s="367">
        <v>15.83</v>
      </c>
      <c r="H62" s="368">
        <v>40.160000000000004</v>
      </c>
      <c r="I62" s="367">
        <v>1.5748</v>
      </c>
      <c r="J62" s="361">
        <v>3.9800000000000004</v>
      </c>
      <c r="K62" s="367">
        <v>1.2312350000000001</v>
      </c>
      <c r="L62" s="368">
        <v>1.9838450000000001</v>
      </c>
      <c r="M62" s="367">
        <v>1.28027</v>
      </c>
      <c r="N62" s="368">
        <v>1.584935</v>
      </c>
      <c r="O62" s="367">
        <v>15.879</v>
      </c>
      <c r="P62" s="368">
        <v>39.988500000000002</v>
      </c>
      <c r="Q62" s="367">
        <v>1.575305</v>
      </c>
      <c r="R62" s="361">
        <v>3.9750000000000001</v>
      </c>
    </row>
    <row r="63" spans="1:18" ht="14.5">
      <c r="A63" s="472"/>
      <c r="B63" s="455" t="s">
        <v>114</v>
      </c>
      <c r="C63" s="359">
        <v>1.2204999999999999</v>
      </c>
      <c r="D63" s="359">
        <v>1.9677</v>
      </c>
      <c r="E63" s="359">
        <v>1.2662</v>
      </c>
      <c r="F63" s="367">
        <v>1.5817000000000001</v>
      </c>
      <c r="G63" s="367">
        <v>15.740000000000002</v>
      </c>
      <c r="H63" s="368">
        <v>40.050000000000004</v>
      </c>
      <c r="I63" s="367">
        <v>1.5296000000000001</v>
      </c>
      <c r="J63" s="361">
        <v>3.9800000000000004</v>
      </c>
      <c r="K63" s="367">
        <v>1.2246999999999999</v>
      </c>
      <c r="L63" s="368">
        <v>1.967813</v>
      </c>
      <c r="M63" s="367">
        <v>1.260243</v>
      </c>
      <c r="N63" s="368">
        <v>1.588096</v>
      </c>
      <c r="O63" s="367">
        <v>15.7948</v>
      </c>
      <c r="P63" s="368">
        <v>40.070399999999999</v>
      </c>
      <c r="Q63" s="367">
        <v>1.5498130000000001</v>
      </c>
      <c r="R63" s="361">
        <v>3.99</v>
      </c>
    </row>
    <row r="64" spans="1:18" ht="14.5">
      <c r="A64" s="472"/>
      <c r="B64" s="455" t="s">
        <v>115</v>
      </c>
      <c r="C64" s="359">
        <v>1.2202</v>
      </c>
      <c r="D64" s="359">
        <v>1.9540999999999999</v>
      </c>
      <c r="E64" s="359">
        <v>1.2722</v>
      </c>
      <c r="F64" s="367">
        <v>1.5845</v>
      </c>
      <c r="G64" s="367">
        <v>15.740000000000002</v>
      </c>
      <c r="H64" s="368">
        <v>40.129999999999995</v>
      </c>
      <c r="I64" s="367">
        <v>1.4794</v>
      </c>
      <c r="J64" s="361">
        <v>3.9699999999999998</v>
      </c>
      <c r="K64" s="367">
        <v>1.22437</v>
      </c>
      <c r="L64" s="368">
        <v>1.952755</v>
      </c>
      <c r="M64" s="367">
        <v>1.272859</v>
      </c>
      <c r="N64" s="368">
        <v>1.5707</v>
      </c>
      <c r="O64" s="367">
        <v>15.7818</v>
      </c>
      <c r="P64" s="368">
        <v>39.994500000000002</v>
      </c>
      <c r="Q64" s="367">
        <v>1.509495</v>
      </c>
      <c r="R64" s="361">
        <v>3.9841000000000002</v>
      </c>
    </row>
    <row r="65" spans="1:18" ht="14.5">
      <c r="A65" s="472"/>
      <c r="B65" s="455" t="s">
        <v>116</v>
      </c>
      <c r="C65" s="359">
        <v>1.2213000000000001</v>
      </c>
      <c r="D65" s="359">
        <v>1.9837</v>
      </c>
      <c r="E65" s="359">
        <v>1.2694000000000001</v>
      </c>
      <c r="F65" s="367">
        <v>1.6113</v>
      </c>
      <c r="G65" s="367">
        <v>15.76</v>
      </c>
      <c r="H65" s="368">
        <v>39.94</v>
      </c>
      <c r="I65" s="367">
        <v>1.4078999999999999</v>
      </c>
      <c r="J65" s="361">
        <v>3.9899999999999998</v>
      </c>
      <c r="K65" s="367">
        <v>1.2204900000000001</v>
      </c>
      <c r="L65" s="368">
        <v>1.9703900000000001</v>
      </c>
      <c r="M65" s="367">
        <v>1.2767520000000001</v>
      </c>
      <c r="N65" s="368">
        <v>1.6021860000000001</v>
      </c>
      <c r="O65" s="367">
        <v>15.746700000000001</v>
      </c>
      <c r="P65" s="368">
        <v>39.928100000000001</v>
      </c>
      <c r="Q65" s="367">
        <v>1.4548760000000001</v>
      </c>
      <c r="R65" s="361">
        <v>3.9857</v>
      </c>
    </row>
    <row r="66" spans="1:18" ht="14.5">
      <c r="A66" s="471">
        <v>2013</v>
      </c>
      <c r="B66" s="454" t="s">
        <v>105</v>
      </c>
      <c r="C66" s="689">
        <v>1.2375</v>
      </c>
      <c r="D66" s="690">
        <v>1.9623999999999999</v>
      </c>
      <c r="E66" s="689">
        <v>1.2901</v>
      </c>
      <c r="F66" s="372">
        <v>1.6802999999999999</v>
      </c>
      <c r="G66" s="371">
        <v>15.97</v>
      </c>
      <c r="H66" s="372">
        <v>39.83</v>
      </c>
      <c r="I66" s="371">
        <v>1.3493999999999999</v>
      </c>
      <c r="J66" s="372">
        <v>4.1500000000000004</v>
      </c>
      <c r="K66" s="371">
        <v>1.2281089999999999</v>
      </c>
      <c r="L66" s="372">
        <v>1.9617</v>
      </c>
      <c r="M66" s="371">
        <v>1.2894699999999999</v>
      </c>
      <c r="N66" s="372">
        <v>1.6338600000000001</v>
      </c>
      <c r="O66" s="371">
        <v>15.84</v>
      </c>
      <c r="P66" s="372">
        <v>40.369999999999997</v>
      </c>
      <c r="Q66" s="371">
        <v>1.3787</v>
      </c>
      <c r="R66" s="373">
        <v>4.0869999999999997</v>
      </c>
    </row>
    <row r="67" spans="1:18" ht="14.5">
      <c r="A67" s="472"/>
      <c r="B67" s="455" t="s">
        <v>106</v>
      </c>
      <c r="C67" s="359">
        <v>1.2384999999999999</v>
      </c>
      <c r="D67" s="360">
        <v>1.8779999999999999</v>
      </c>
      <c r="E67" s="359">
        <v>1.2652000000000001</v>
      </c>
      <c r="F67" s="368">
        <v>1.6171</v>
      </c>
      <c r="G67" s="367">
        <v>15.97</v>
      </c>
      <c r="H67" s="368">
        <v>40.050000000000004</v>
      </c>
      <c r="I67" s="367">
        <v>1.3381000000000001</v>
      </c>
      <c r="J67" s="368">
        <v>4.16</v>
      </c>
      <c r="K67" s="367">
        <v>1.2385349999999999</v>
      </c>
      <c r="L67" s="368">
        <v>1.9156</v>
      </c>
      <c r="M67" s="367">
        <v>1.2766999999999999</v>
      </c>
      <c r="N67" s="368">
        <v>1.6524799999999999</v>
      </c>
      <c r="O67" s="367">
        <v>15.97</v>
      </c>
      <c r="P67" s="368">
        <v>39.97</v>
      </c>
      <c r="Q67" s="367">
        <v>1.33</v>
      </c>
      <c r="R67" s="361">
        <v>4.1520000000000001</v>
      </c>
    </row>
    <row r="68" spans="1:18" ht="14.5">
      <c r="A68" s="472"/>
      <c r="B68" s="455" t="s">
        <v>107</v>
      </c>
      <c r="C68" s="359">
        <v>1.2403999999999999</v>
      </c>
      <c r="D68" s="360">
        <v>1.8853</v>
      </c>
      <c r="E68" s="359">
        <v>1.2925</v>
      </c>
      <c r="F68" s="368">
        <v>1.5889</v>
      </c>
      <c r="G68" s="367">
        <v>15.98</v>
      </c>
      <c r="H68" s="368">
        <v>40.17</v>
      </c>
      <c r="I68" s="367">
        <v>1.3165</v>
      </c>
      <c r="J68" s="368">
        <v>4.24</v>
      </c>
      <c r="K68" s="367">
        <v>1.246238</v>
      </c>
      <c r="L68" s="368">
        <v>1.8794999999999999</v>
      </c>
      <c r="M68" s="367">
        <v>1.2899</v>
      </c>
      <c r="N68" s="368">
        <v>1.6146</v>
      </c>
      <c r="O68" s="367">
        <v>16.059999999999999</v>
      </c>
      <c r="P68" s="368">
        <v>40.090000000000003</v>
      </c>
      <c r="Q68" s="367">
        <v>1.3136000000000001</v>
      </c>
      <c r="R68" s="361">
        <v>4.2240000000000002</v>
      </c>
    </row>
    <row r="69" spans="1:18" ht="14.5">
      <c r="A69" s="472"/>
      <c r="B69" s="455" t="s">
        <v>108</v>
      </c>
      <c r="C69" s="359">
        <v>1.2317</v>
      </c>
      <c r="D69" s="360">
        <v>1.9127000000000001</v>
      </c>
      <c r="E69" s="359">
        <v>1.2771999999999999</v>
      </c>
      <c r="F69" s="368">
        <v>1.6214999999999999</v>
      </c>
      <c r="G69" s="367">
        <v>15.870000000000001</v>
      </c>
      <c r="H69" s="368">
        <v>40.479999999999997</v>
      </c>
      <c r="I69" s="367">
        <v>1.2639</v>
      </c>
      <c r="J69" s="368">
        <v>4.21</v>
      </c>
      <c r="K69" s="367">
        <v>1.2381</v>
      </c>
      <c r="L69" s="368">
        <v>1.8956</v>
      </c>
      <c r="M69" s="367">
        <v>1.2850999999999999</v>
      </c>
      <c r="N69" s="368">
        <v>1.6132</v>
      </c>
      <c r="O69" s="367">
        <v>15.95</v>
      </c>
      <c r="P69" s="368">
        <v>40.6</v>
      </c>
      <c r="Q69" s="367">
        <v>1.2670999999999999</v>
      </c>
      <c r="R69" s="361">
        <v>4.258</v>
      </c>
    </row>
    <row r="70" spans="1:18" ht="14.5">
      <c r="A70" s="472"/>
      <c r="B70" s="455" t="s">
        <v>109</v>
      </c>
      <c r="C70" s="359">
        <v>1.2644</v>
      </c>
      <c r="D70" s="360">
        <v>1.9215</v>
      </c>
      <c r="E70" s="359">
        <v>1.2101999999999999</v>
      </c>
      <c r="F70" s="368">
        <v>1.643</v>
      </c>
      <c r="G70" s="367">
        <v>16.29</v>
      </c>
      <c r="H70" s="368">
        <v>40.79</v>
      </c>
      <c r="I70" s="367">
        <v>1.2579</v>
      </c>
      <c r="J70" s="368">
        <v>4.16</v>
      </c>
      <c r="K70" s="367">
        <v>1.2493000000000001</v>
      </c>
      <c r="L70" s="368">
        <v>1.9096</v>
      </c>
      <c r="M70" s="367">
        <v>1.2363</v>
      </c>
      <c r="N70" s="368">
        <v>1.6213</v>
      </c>
      <c r="O70" s="367">
        <v>16.100000000000001</v>
      </c>
      <c r="P70" s="368">
        <v>41.34</v>
      </c>
      <c r="Q70" s="367">
        <v>1.2372000000000001</v>
      </c>
      <c r="R70" s="361">
        <v>4.1950000000000003</v>
      </c>
    </row>
    <row r="71" spans="1:18" ht="14.5">
      <c r="A71" s="472"/>
      <c r="B71" s="455" t="s">
        <v>110</v>
      </c>
      <c r="C71" s="359">
        <v>1.2679</v>
      </c>
      <c r="D71" s="360">
        <v>1.9285000000000001</v>
      </c>
      <c r="E71" s="359">
        <v>1.1586000000000001</v>
      </c>
      <c r="F71" s="368">
        <v>1.6495</v>
      </c>
      <c r="G71" s="367">
        <v>16.34</v>
      </c>
      <c r="H71" s="368">
        <v>39.910000000000004</v>
      </c>
      <c r="I71" s="367">
        <v>1.2787999999999999</v>
      </c>
      <c r="J71" s="368">
        <v>4.08</v>
      </c>
      <c r="K71" s="367">
        <v>1.2602</v>
      </c>
      <c r="L71" s="368">
        <v>1.9528000000000001</v>
      </c>
      <c r="M71" s="367">
        <v>1.1880999999999999</v>
      </c>
      <c r="N71" s="368">
        <v>1.6634</v>
      </c>
      <c r="O71" s="367">
        <v>16.239999999999998</v>
      </c>
      <c r="P71" s="368">
        <v>40.049999999999997</v>
      </c>
      <c r="Q71" s="367">
        <v>1.2957000000000001</v>
      </c>
      <c r="R71" s="361">
        <v>4.0869999999999997</v>
      </c>
    </row>
    <row r="72" spans="1:18" ht="14.5">
      <c r="A72" s="472"/>
      <c r="B72" s="455" t="s">
        <v>117</v>
      </c>
      <c r="C72" s="359">
        <v>1.2709999999999999</v>
      </c>
      <c r="D72" s="360">
        <v>1.9328000000000001</v>
      </c>
      <c r="E72" s="359">
        <v>1.1416999999999999</v>
      </c>
      <c r="F72" s="368">
        <v>1.6906000000000001</v>
      </c>
      <c r="G72" s="367">
        <v>16.400000000000002</v>
      </c>
      <c r="H72" s="368">
        <v>39.11</v>
      </c>
      <c r="I72" s="367">
        <v>1.2984</v>
      </c>
      <c r="J72" s="368">
        <v>4.0599999999999996</v>
      </c>
      <c r="K72" s="367">
        <v>1.2677</v>
      </c>
      <c r="L72" s="368">
        <v>1.9253</v>
      </c>
      <c r="M72" s="367">
        <v>1.1618999999999999</v>
      </c>
      <c r="N72" s="368">
        <v>1.6600999999999999</v>
      </c>
      <c r="O72" s="367">
        <v>16.34</v>
      </c>
      <c r="P72" s="368">
        <v>39.72</v>
      </c>
      <c r="Q72" s="367">
        <v>1.2723</v>
      </c>
      <c r="R72" s="361">
        <v>4.0759999999999996</v>
      </c>
    </row>
    <row r="73" spans="1:18" ht="14.5">
      <c r="A73" s="472"/>
      <c r="B73" s="455" t="s">
        <v>112</v>
      </c>
      <c r="C73" s="359">
        <v>1.2750999999999999</v>
      </c>
      <c r="D73" s="360">
        <v>1.9775</v>
      </c>
      <c r="E73" s="359">
        <v>1.1349</v>
      </c>
      <c r="F73" s="368">
        <v>1.6857</v>
      </c>
      <c r="G73" s="367">
        <v>16.439999999999998</v>
      </c>
      <c r="H73" s="368">
        <v>38.629999999999995</v>
      </c>
      <c r="I73" s="367">
        <v>1.2986</v>
      </c>
      <c r="J73" s="368">
        <v>3.9699999999999998</v>
      </c>
      <c r="K73" s="367">
        <v>1.2725</v>
      </c>
      <c r="L73" s="368">
        <v>1.9730000000000001</v>
      </c>
      <c r="M73" s="367">
        <v>1.1494</v>
      </c>
      <c r="N73" s="368">
        <v>1.6948000000000001</v>
      </c>
      <c r="O73" s="367">
        <v>16.41</v>
      </c>
      <c r="P73" s="368">
        <v>38.81</v>
      </c>
      <c r="Q73" s="367">
        <v>1.3010999999999999</v>
      </c>
      <c r="R73" s="361">
        <v>4.0289999999999999</v>
      </c>
    </row>
    <row r="74" spans="1:18" ht="14.5">
      <c r="A74" s="472"/>
      <c r="B74" s="455" t="s">
        <v>113</v>
      </c>
      <c r="C74" s="359">
        <v>1.2557</v>
      </c>
      <c r="D74" s="360">
        <v>2.0337999999999998</v>
      </c>
      <c r="E74" s="359">
        <v>1.1698</v>
      </c>
      <c r="F74" s="368">
        <v>1.6984999999999999</v>
      </c>
      <c r="G74" s="367">
        <v>16.189999999999998</v>
      </c>
      <c r="H74" s="368">
        <v>38.54</v>
      </c>
      <c r="I74" s="367">
        <v>1.2783</v>
      </c>
      <c r="J74" s="368">
        <v>4.0199999999999996</v>
      </c>
      <c r="K74" s="367">
        <v>1.2625999999999999</v>
      </c>
      <c r="L74" s="368">
        <v>2.0043000000000002</v>
      </c>
      <c r="M74" s="367">
        <v>1.173</v>
      </c>
      <c r="N74" s="368">
        <v>1.6870000000000001</v>
      </c>
      <c r="O74" s="367">
        <v>16.28</v>
      </c>
      <c r="P74" s="368">
        <v>38.92</v>
      </c>
      <c r="Q74" s="367">
        <v>1.2728999999999999</v>
      </c>
      <c r="R74" s="361">
        <v>3.988</v>
      </c>
    </row>
    <row r="75" spans="1:18" ht="14.5">
      <c r="A75" s="472"/>
      <c r="B75" s="455" t="s">
        <v>114</v>
      </c>
      <c r="C75" s="359">
        <v>1.2417</v>
      </c>
      <c r="D75" s="360">
        <v>1.9916</v>
      </c>
      <c r="E75" s="359">
        <v>1.1742999999999999</v>
      </c>
      <c r="F75" s="368">
        <v>1.6867000000000001</v>
      </c>
      <c r="G75" s="367">
        <v>16.010000000000002</v>
      </c>
      <c r="H75" s="368">
        <v>39.299999999999997</v>
      </c>
      <c r="I75" s="367">
        <v>1.2624</v>
      </c>
      <c r="J75" s="368">
        <v>3.98</v>
      </c>
      <c r="K75" s="367">
        <v>1.2433000000000001</v>
      </c>
      <c r="L75" s="368">
        <v>2.0005000000000002</v>
      </c>
      <c r="M75" s="367">
        <v>1.1832</v>
      </c>
      <c r="N75" s="368">
        <v>1.6957</v>
      </c>
      <c r="O75" s="367">
        <v>16.03</v>
      </c>
      <c r="P75" s="368">
        <v>39.22</v>
      </c>
      <c r="Q75" s="367">
        <v>1.2708999999999999</v>
      </c>
      <c r="R75" s="361">
        <v>3.984</v>
      </c>
    </row>
    <row r="76" spans="1:18" ht="14.5">
      <c r="A76" s="472"/>
      <c r="B76" s="455" t="s">
        <v>115</v>
      </c>
      <c r="C76" s="359">
        <v>1.2557</v>
      </c>
      <c r="D76" s="360">
        <v>2.0565000000000002</v>
      </c>
      <c r="E76" s="359">
        <v>1.1432</v>
      </c>
      <c r="F76" s="368">
        <v>1.7063999999999999</v>
      </c>
      <c r="G76" s="367">
        <v>16.190000000000001</v>
      </c>
      <c r="H76" s="368">
        <v>38.909999999999997</v>
      </c>
      <c r="I76" s="367">
        <v>1.2254</v>
      </c>
      <c r="J76" s="368">
        <v>3.92</v>
      </c>
      <c r="K76" s="367">
        <v>1.2479</v>
      </c>
      <c r="L76" s="368">
        <v>2.0110000000000001</v>
      </c>
      <c r="M76" s="367">
        <v>1.1626000000000001</v>
      </c>
      <c r="N76" s="368">
        <v>1.6839999999999999</v>
      </c>
      <c r="O76" s="367">
        <v>16.100000000000001</v>
      </c>
      <c r="P76" s="368">
        <v>38.99</v>
      </c>
      <c r="Q76" s="367">
        <v>1.2466999999999999</v>
      </c>
      <c r="R76" s="361">
        <v>3.9430000000000001</v>
      </c>
    </row>
    <row r="77" spans="1:18" ht="14.5">
      <c r="A77" s="473"/>
      <c r="B77" s="456" t="s">
        <v>116</v>
      </c>
      <c r="C77" s="362">
        <v>1.2629999999999999</v>
      </c>
      <c r="D77" s="363">
        <v>2.0926999999999998</v>
      </c>
      <c r="E77" s="362">
        <v>1.1258999999999999</v>
      </c>
      <c r="F77" s="370">
        <v>1.7363</v>
      </c>
      <c r="G77" s="369">
        <v>16.28</v>
      </c>
      <c r="H77" s="370">
        <v>38.51</v>
      </c>
      <c r="I77" s="369">
        <v>1.1992</v>
      </c>
      <c r="J77" s="370">
        <v>3.86</v>
      </c>
      <c r="K77" s="369">
        <v>1.2593000000000001</v>
      </c>
      <c r="L77" s="370">
        <v>2.0630000000000002</v>
      </c>
      <c r="M77" s="369">
        <v>1.1304000000000001</v>
      </c>
      <c r="N77" s="370">
        <v>1.7256</v>
      </c>
      <c r="O77" s="369">
        <v>16.239999999999998</v>
      </c>
      <c r="P77" s="370">
        <v>38.729999999999997</v>
      </c>
      <c r="Q77" s="369">
        <v>1.2156</v>
      </c>
      <c r="R77" s="364">
        <v>3.8889999999999998</v>
      </c>
    </row>
    <row r="78" spans="1:18" ht="14.5">
      <c r="A78" s="471">
        <v>2014</v>
      </c>
      <c r="B78" s="454" t="s">
        <v>105</v>
      </c>
      <c r="C78" s="689">
        <v>1.2766999999999999</v>
      </c>
      <c r="D78" s="690">
        <v>2.0985999999999998</v>
      </c>
      <c r="E78" s="689">
        <v>1.1177999999999999</v>
      </c>
      <c r="F78" s="372">
        <v>1.7221</v>
      </c>
      <c r="G78" s="371">
        <v>16.440000000000001</v>
      </c>
      <c r="H78" s="372">
        <v>38.15</v>
      </c>
      <c r="I78" s="371">
        <v>1.2513000000000001</v>
      </c>
      <c r="J78" s="372">
        <v>3.86</v>
      </c>
      <c r="K78" s="371">
        <v>1.2726999999999999</v>
      </c>
      <c r="L78" s="372">
        <v>2.0966999999999998</v>
      </c>
      <c r="M78" s="371">
        <v>1.1271</v>
      </c>
      <c r="N78" s="372">
        <v>1.7336</v>
      </c>
      <c r="O78" s="371">
        <v>16.399999999999999</v>
      </c>
      <c r="P78" s="372">
        <v>38.5</v>
      </c>
      <c r="Q78" s="371">
        <v>1.2253000000000001</v>
      </c>
      <c r="R78" s="373">
        <v>3.86</v>
      </c>
    </row>
    <row r="79" spans="1:18" ht="14.5">
      <c r="A79" s="472"/>
      <c r="B79" s="455" t="s">
        <v>106</v>
      </c>
      <c r="C79" s="359">
        <v>1.2677</v>
      </c>
      <c r="D79" s="360">
        <v>2.1234000000000002</v>
      </c>
      <c r="E79" s="359">
        <v>1.1315999999999999</v>
      </c>
      <c r="F79" s="368">
        <v>1.7495000000000001</v>
      </c>
      <c r="G79" s="367">
        <v>16.329999999999998</v>
      </c>
      <c r="H79" s="368">
        <v>38.729999999999997</v>
      </c>
      <c r="I79" s="367">
        <v>1.2455000000000001</v>
      </c>
      <c r="J79" s="368">
        <v>3.89</v>
      </c>
      <c r="K79" s="367">
        <v>1.2659</v>
      </c>
      <c r="L79" s="368">
        <v>2.0971000000000002</v>
      </c>
      <c r="M79" s="367">
        <v>1.1359999999999999</v>
      </c>
      <c r="N79" s="368">
        <v>1.7303999999999999</v>
      </c>
      <c r="O79" s="367">
        <v>16.309999999999999</v>
      </c>
      <c r="P79" s="368">
        <v>38.299999999999997</v>
      </c>
      <c r="Q79" s="367">
        <v>1.2397</v>
      </c>
      <c r="R79" s="361">
        <v>3.88</v>
      </c>
    </row>
    <row r="80" spans="1:18" ht="14.5">
      <c r="A80" s="472"/>
      <c r="B80" s="455" t="s">
        <v>107</v>
      </c>
      <c r="C80" s="359">
        <v>1.2575000000000001</v>
      </c>
      <c r="D80" s="360">
        <v>2.0954000000000002</v>
      </c>
      <c r="E80" s="359">
        <v>1.165</v>
      </c>
      <c r="F80" s="368">
        <v>1.7316</v>
      </c>
      <c r="G80" s="367">
        <v>16.21</v>
      </c>
      <c r="H80" s="368">
        <v>38.65</v>
      </c>
      <c r="I80" s="367">
        <v>1.2181999999999999</v>
      </c>
      <c r="J80" s="368">
        <v>3.88</v>
      </c>
      <c r="K80" s="367">
        <v>1.2675333333333334</v>
      </c>
      <c r="L80" s="368">
        <v>2.1061619047619047</v>
      </c>
      <c r="M80" s="367">
        <v>1.1513476190476188</v>
      </c>
      <c r="N80" s="368">
        <v>1.7524285714285719</v>
      </c>
      <c r="O80" s="367">
        <v>16.332380952381001</v>
      </c>
      <c r="P80" s="368">
        <v>38.626190476190501</v>
      </c>
      <c r="Q80" s="367">
        <v>1.2383761904761907</v>
      </c>
      <c r="R80" s="361">
        <v>3.9161904761904767</v>
      </c>
    </row>
    <row r="81" spans="1:18" ht="14.5">
      <c r="A81" s="472"/>
      <c r="B81" s="455" t="s">
        <v>108</v>
      </c>
      <c r="C81" s="359">
        <v>1.2537</v>
      </c>
      <c r="D81" s="360">
        <v>2.1152000000000002</v>
      </c>
      <c r="E81" s="359">
        <v>1.1639999999999999</v>
      </c>
      <c r="F81" s="368">
        <v>1.7385999999999999</v>
      </c>
      <c r="G81" s="367">
        <v>16.170000000000002</v>
      </c>
      <c r="H81" s="368">
        <v>38.440000000000005</v>
      </c>
      <c r="I81" s="367">
        <v>1.2262</v>
      </c>
      <c r="J81" s="368">
        <v>3.8699999999999997</v>
      </c>
      <c r="K81" s="367">
        <v>1.2548954545454547</v>
      </c>
      <c r="L81" s="368">
        <v>2.1015499999999996</v>
      </c>
      <c r="M81" s="367">
        <v>1.1692454545454547</v>
      </c>
      <c r="N81" s="368">
        <v>1.7330727272727273</v>
      </c>
      <c r="O81" s="367">
        <v>16.184545454545454</v>
      </c>
      <c r="P81" s="368">
        <v>38.555000000000007</v>
      </c>
      <c r="Q81" s="367">
        <v>1.2240863636363635</v>
      </c>
      <c r="R81" s="361">
        <v>3.8827272727272724</v>
      </c>
    </row>
    <row r="82" spans="1:18" ht="14.5">
      <c r="A82" s="472"/>
      <c r="B82" s="455" t="s">
        <v>109</v>
      </c>
      <c r="C82" s="359">
        <v>1.2542</v>
      </c>
      <c r="D82" s="360">
        <v>2.1004999999999998</v>
      </c>
      <c r="E82" s="359">
        <v>1.1675</v>
      </c>
      <c r="F82" s="368">
        <v>1.71</v>
      </c>
      <c r="G82" s="367">
        <v>16.18</v>
      </c>
      <c r="H82" s="368">
        <v>38.950000000000003</v>
      </c>
      <c r="I82" s="367">
        <v>1.232</v>
      </c>
      <c r="J82" s="368">
        <v>3.82</v>
      </c>
      <c r="K82" s="367">
        <v>1.2518681818181816</v>
      </c>
      <c r="L82" s="368">
        <v>2.1083000000000003</v>
      </c>
      <c r="M82" s="367">
        <v>1.1647090909090911</v>
      </c>
      <c r="N82" s="368">
        <v>1.7191136363636366</v>
      </c>
      <c r="O82" s="367">
        <v>16.14863636363636</v>
      </c>
      <c r="P82" s="368">
        <v>38.789999999999992</v>
      </c>
      <c r="Q82" s="367">
        <v>1.2292363636363637</v>
      </c>
      <c r="R82" s="361">
        <v>3.8477272727272713</v>
      </c>
    </row>
    <row r="83" spans="1:18" ht="14.5">
      <c r="A83" s="472"/>
      <c r="B83" s="455" t="s">
        <v>110</v>
      </c>
      <c r="C83" s="359">
        <v>1.2465999999999999</v>
      </c>
      <c r="D83" s="360">
        <v>2.1324000000000001</v>
      </c>
      <c r="E83" s="359">
        <v>1.1758999999999999</v>
      </c>
      <c r="F83" s="368">
        <v>1.7070000000000001</v>
      </c>
      <c r="G83" s="367">
        <v>16.09</v>
      </c>
      <c r="H83" s="368">
        <v>38.840000000000003</v>
      </c>
      <c r="I83" s="367">
        <v>1.2303999999999999</v>
      </c>
      <c r="J83" s="368">
        <v>3.84</v>
      </c>
      <c r="K83" s="367">
        <v>1.2509571428571429</v>
      </c>
      <c r="L83" s="368">
        <v>2.1161428571428567</v>
      </c>
      <c r="M83" s="367">
        <v>1.172390476190476</v>
      </c>
      <c r="N83" s="368">
        <v>1.7013476190476193</v>
      </c>
      <c r="O83" s="367">
        <v>16.137142857142862</v>
      </c>
      <c r="P83" s="368">
        <v>38.878095238095241</v>
      </c>
      <c r="Q83" s="367">
        <v>1.2256666666666665</v>
      </c>
      <c r="R83" s="361">
        <v>3.8504761904761895</v>
      </c>
    </row>
    <row r="84" spans="1:18" ht="14.5">
      <c r="A84" s="472"/>
      <c r="B84" s="455" t="s">
        <v>117</v>
      </c>
      <c r="C84" s="365">
        <v>1.2477</v>
      </c>
      <c r="D84" s="366">
        <v>2.1067999999999998</v>
      </c>
      <c r="E84" s="365">
        <v>1.1597999999999999</v>
      </c>
      <c r="F84" s="384">
        <v>1.6707000000000001</v>
      </c>
      <c r="G84" s="367">
        <v>16.100000000000001</v>
      </c>
      <c r="H84" s="368">
        <v>38.840000000000003</v>
      </c>
      <c r="I84" s="385">
        <v>1.2139</v>
      </c>
      <c r="J84" s="386">
        <v>3.88</v>
      </c>
      <c r="K84" s="367">
        <v>1.2430565217391305</v>
      </c>
      <c r="L84" s="368">
        <v>2.1223565217391305</v>
      </c>
      <c r="M84" s="367">
        <v>1.1671304347826088</v>
      </c>
      <c r="N84" s="368">
        <v>1.6828000000000003</v>
      </c>
      <c r="O84" s="367">
        <v>16.038695652173899</v>
      </c>
      <c r="P84" s="368">
        <v>39.035652173913</v>
      </c>
      <c r="Q84" s="367">
        <v>1.2215478260869568</v>
      </c>
      <c r="R84" s="361">
        <v>3.87130434782609</v>
      </c>
    </row>
    <row r="85" spans="1:18" ht="14.5">
      <c r="A85" s="472"/>
      <c r="B85" s="455" t="s">
        <v>112</v>
      </c>
      <c r="C85" s="365">
        <v>1.2486999999999999</v>
      </c>
      <c r="D85" s="366">
        <v>2.0724999999999998</v>
      </c>
      <c r="E85" s="365">
        <v>1.1660999999999999</v>
      </c>
      <c r="F85" s="384">
        <v>1.64</v>
      </c>
      <c r="G85" s="367">
        <v>16.11</v>
      </c>
      <c r="H85" s="368">
        <v>39.479999999999997</v>
      </c>
      <c r="I85" s="385">
        <v>1.1998</v>
      </c>
      <c r="J85" s="386">
        <v>3.91</v>
      </c>
      <c r="K85" s="367">
        <v>1.2487952380952378</v>
      </c>
      <c r="L85" s="368">
        <v>2.0852333333333335</v>
      </c>
      <c r="M85" s="367">
        <v>1.1625047619047622</v>
      </c>
      <c r="N85" s="368">
        <v>1.6626428571428573</v>
      </c>
      <c r="O85" s="367">
        <v>16.110952380952401</v>
      </c>
      <c r="P85" s="368">
        <v>39.317619047619097</v>
      </c>
      <c r="Q85" s="367">
        <v>1.2126809523809523</v>
      </c>
      <c r="R85" s="361">
        <v>3.9009523809523801</v>
      </c>
    </row>
    <row r="86" spans="1:18" ht="14.5">
      <c r="A86" s="472"/>
      <c r="B86" s="455" t="s">
        <v>113</v>
      </c>
      <c r="C86" s="365">
        <v>1.2758</v>
      </c>
      <c r="D86" s="366">
        <v>2.0680999999999998</v>
      </c>
      <c r="E86" s="365">
        <v>1.1157999999999999</v>
      </c>
      <c r="F86" s="384">
        <v>1.6113</v>
      </c>
      <c r="G86" s="367">
        <v>16.43</v>
      </c>
      <c r="H86" s="368">
        <v>38.869999999999997</v>
      </c>
      <c r="I86" s="385">
        <v>1.1635</v>
      </c>
      <c r="J86" s="386">
        <v>3.93</v>
      </c>
      <c r="K86" s="367">
        <v>1.2637909090909092</v>
      </c>
      <c r="L86" s="368">
        <v>2.0606727272727277</v>
      </c>
      <c r="M86" s="367">
        <v>1.1434227272727271</v>
      </c>
      <c r="N86" s="368">
        <v>1.6295181818181816</v>
      </c>
      <c r="O86" s="367">
        <v>16.3013636363636</v>
      </c>
      <c r="P86" s="368">
        <v>39.228181818181802</v>
      </c>
      <c r="Q86" s="367">
        <v>1.1770636363636362</v>
      </c>
      <c r="R86" s="361">
        <v>3.9245454545454601</v>
      </c>
    </row>
    <row r="87" spans="1:18" ht="14.5">
      <c r="A87" s="472"/>
      <c r="B87" s="455" t="s">
        <v>114</v>
      </c>
      <c r="C87" s="359">
        <v>1.3165</v>
      </c>
      <c r="D87" s="360">
        <v>2.0583</v>
      </c>
      <c r="E87" s="359">
        <v>1.1308</v>
      </c>
      <c r="F87" s="368">
        <v>1.6093999999999999</v>
      </c>
      <c r="G87" s="367">
        <v>16.580000000000002</v>
      </c>
      <c r="H87" s="368">
        <v>38.83</v>
      </c>
      <c r="I87" s="367">
        <v>1.1449</v>
      </c>
      <c r="J87" s="368">
        <v>3.94</v>
      </c>
      <c r="K87" s="367">
        <v>1.2749652173913042</v>
      </c>
      <c r="L87" s="368">
        <v>2.0497260869565213</v>
      </c>
      <c r="M87" s="367">
        <v>1.1191695652173912</v>
      </c>
      <c r="N87" s="368">
        <v>1.6168521739130439</v>
      </c>
      <c r="O87" s="367">
        <v>16.431304347826089</v>
      </c>
      <c r="P87" s="368">
        <v>38.979130434782618</v>
      </c>
      <c r="Q87" s="367">
        <v>1.1803478260869564</v>
      </c>
      <c r="R87" s="361">
        <v>3.927826086956522</v>
      </c>
    </row>
    <row r="88" spans="1:18" ht="14.5">
      <c r="A88" s="472"/>
      <c r="B88" s="455" t="s">
        <v>115</v>
      </c>
      <c r="C88" s="359">
        <v>1.3043</v>
      </c>
      <c r="D88" s="360">
        <v>2.0409000000000002</v>
      </c>
      <c r="E88" s="359">
        <v>1.1093</v>
      </c>
      <c r="F88" s="368">
        <v>1.6243000000000001</v>
      </c>
      <c r="G88" s="367">
        <v>16.82</v>
      </c>
      <c r="H88" s="368">
        <v>38.39</v>
      </c>
      <c r="I88" s="367">
        <v>1.0987</v>
      </c>
      <c r="J88" s="368">
        <v>3.9699999999999998</v>
      </c>
      <c r="K88" s="367">
        <v>1.2964350000000002</v>
      </c>
      <c r="L88" s="368">
        <v>2.0448799999999996</v>
      </c>
      <c r="M88" s="367">
        <v>1.1199549999999998</v>
      </c>
      <c r="N88" s="368">
        <v>1.6171650000000004</v>
      </c>
      <c r="O88" s="367">
        <v>16.715999999999998</v>
      </c>
      <c r="P88" s="368">
        <v>38.720499999999994</v>
      </c>
      <c r="Q88" s="367">
        <v>1.1136449999999998</v>
      </c>
      <c r="R88" s="361">
        <v>3.9525000000000006</v>
      </c>
    </row>
    <row r="89" spans="1:18" ht="14.5">
      <c r="A89" s="473"/>
      <c r="B89" s="456" t="s">
        <v>116</v>
      </c>
      <c r="C89" s="362">
        <v>1.3260000000000001</v>
      </c>
      <c r="D89" s="363">
        <v>2.0636000000000001</v>
      </c>
      <c r="E89" s="362">
        <v>1.0825</v>
      </c>
      <c r="F89" s="370">
        <v>1.6034999999999999</v>
      </c>
      <c r="G89" s="369">
        <v>17.080000000000002</v>
      </c>
      <c r="H89" s="370">
        <v>37.81</v>
      </c>
      <c r="I89" s="369">
        <v>1.1073999999999999</v>
      </c>
      <c r="J89" s="370">
        <v>4.03</v>
      </c>
      <c r="K89" s="369">
        <v>1.3165</v>
      </c>
      <c r="L89" s="370">
        <v>2.0575826086956526</v>
      </c>
      <c r="M89" s="369">
        <v>1.0840869565217393</v>
      </c>
      <c r="N89" s="370">
        <v>1.6200565217391301</v>
      </c>
      <c r="O89" s="369">
        <v>16.97695652173913</v>
      </c>
      <c r="P89" s="370">
        <v>37.805217391304339</v>
      </c>
      <c r="Q89" s="369">
        <v>1.102317391304348</v>
      </c>
      <c r="R89" s="364">
        <v>4.0121739130434797</v>
      </c>
    </row>
    <row r="90" spans="1:18" ht="14.5">
      <c r="A90" s="472">
        <v>2015</v>
      </c>
      <c r="B90" s="455" t="s">
        <v>105</v>
      </c>
      <c r="C90" s="359">
        <v>1.3544</v>
      </c>
      <c r="D90" s="360">
        <v>2.0406</v>
      </c>
      <c r="E90" s="359">
        <v>1.0516000000000001</v>
      </c>
      <c r="F90" s="371">
        <v>1.5289999999999999</v>
      </c>
      <c r="G90" s="367">
        <v>17.47</v>
      </c>
      <c r="H90" s="368">
        <v>37.269999999999996</v>
      </c>
      <c r="I90" s="367">
        <v>1.1521999999999999</v>
      </c>
      <c r="J90" s="368">
        <v>4.1399999999999997</v>
      </c>
      <c r="K90" s="371">
        <v>1.3374590909090911</v>
      </c>
      <c r="L90" s="368">
        <v>2.0273909090909084</v>
      </c>
      <c r="M90" s="367">
        <v>1.0785545454545453</v>
      </c>
      <c r="N90" s="368">
        <v>1.5552545454545454</v>
      </c>
      <c r="O90" s="367">
        <v>17.24909090909091</v>
      </c>
      <c r="P90" s="371">
        <v>37.340000000000003</v>
      </c>
      <c r="Q90" s="367">
        <v>1.1302045454545455</v>
      </c>
      <c r="R90" s="361">
        <v>4.0854545454545441</v>
      </c>
    </row>
    <row r="91" spans="1:18" ht="14.5">
      <c r="A91" s="472"/>
      <c r="B91" s="450" t="s">
        <v>106</v>
      </c>
      <c r="C91" s="359">
        <v>1.363</v>
      </c>
      <c r="D91" s="359">
        <v>2.1036999999999999</v>
      </c>
      <c r="E91" s="359">
        <v>1.0645</v>
      </c>
      <c r="F91" s="368">
        <v>1.5264</v>
      </c>
      <c r="G91" s="367">
        <v>17.57</v>
      </c>
      <c r="H91" s="367">
        <v>37.68</v>
      </c>
      <c r="I91" s="367">
        <v>1.1386000000000001</v>
      </c>
      <c r="J91" s="367">
        <v>4.21</v>
      </c>
      <c r="K91" s="367">
        <v>1.3551900000000001</v>
      </c>
      <c r="L91" s="367">
        <v>2.0780550000000004</v>
      </c>
      <c r="M91" s="367">
        <v>1.0563</v>
      </c>
      <c r="N91" s="367">
        <v>1.5386650000000002</v>
      </c>
      <c r="O91" s="367">
        <v>17.473999999999997</v>
      </c>
      <c r="P91" s="368">
        <v>37.665000000000006</v>
      </c>
      <c r="Q91" s="367">
        <v>1.140825</v>
      </c>
      <c r="R91" s="367">
        <v>4.1599999999999993</v>
      </c>
    </row>
    <row r="92" spans="1:18" ht="14.5">
      <c r="A92" s="472"/>
      <c r="B92" s="450" t="s">
        <v>107</v>
      </c>
      <c r="C92" s="359">
        <v>1.3725000000000001</v>
      </c>
      <c r="D92" s="359">
        <v>2.0333999999999999</v>
      </c>
      <c r="E92" s="359">
        <v>1.044</v>
      </c>
      <c r="F92" s="367">
        <v>1.4728000000000001</v>
      </c>
      <c r="G92" s="367">
        <v>17.7</v>
      </c>
      <c r="H92" s="367">
        <v>37.04</v>
      </c>
      <c r="I92" s="367">
        <v>1.1423000000000001</v>
      </c>
      <c r="J92" s="368">
        <v>4.22</v>
      </c>
      <c r="K92" s="367">
        <v>1.3769499999999999</v>
      </c>
      <c r="L92" s="367">
        <v>2.0612818181818184</v>
      </c>
      <c r="M92" s="367">
        <v>1.0643318181818182</v>
      </c>
      <c r="N92" s="367">
        <v>1.4907545454545454</v>
      </c>
      <c r="O92" s="367">
        <v>17.747727272727275</v>
      </c>
      <c r="P92" s="367">
        <v>37.399090909090908</v>
      </c>
      <c r="Q92" s="367">
        <v>1.1439409090909094</v>
      </c>
      <c r="R92" s="367">
        <v>4.2218181818181826</v>
      </c>
    </row>
    <row r="93" spans="1:18" ht="14.5">
      <c r="A93" s="472"/>
      <c r="B93" s="450" t="s">
        <v>108</v>
      </c>
      <c r="C93" s="359">
        <v>1.3237000000000001</v>
      </c>
      <c r="D93" s="359">
        <v>2.032</v>
      </c>
      <c r="E93" s="359">
        <v>1.0465</v>
      </c>
      <c r="F93" s="367">
        <v>1.4858</v>
      </c>
      <c r="G93" s="367">
        <v>17.080000000000002</v>
      </c>
      <c r="H93" s="367">
        <v>37.08</v>
      </c>
      <c r="I93" s="367">
        <v>1.1088</v>
      </c>
      <c r="J93" s="367">
        <v>4.01</v>
      </c>
      <c r="K93" s="367">
        <v>1.3485181818181819</v>
      </c>
      <c r="L93" s="367">
        <v>2.0171363636363631</v>
      </c>
      <c r="M93" s="367">
        <v>1.042940909090909</v>
      </c>
      <c r="N93" s="367">
        <v>1.4585954545454543</v>
      </c>
      <c r="O93" s="367">
        <v>17.396363636363635</v>
      </c>
      <c r="P93" s="367">
        <v>37.202727272727273</v>
      </c>
      <c r="Q93" s="367">
        <v>1.128259090909091</v>
      </c>
      <c r="R93" s="367">
        <v>4.1463636363636365</v>
      </c>
    </row>
    <row r="94" spans="1:18" ht="14.5">
      <c r="A94" s="472"/>
      <c r="B94" s="450" t="s">
        <v>109</v>
      </c>
      <c r="C94" s="359">
        <v>1.3478000000000001</v>
      </c>
      <c r="D94" s="359">
        <v>2.0611999999999999</v>
      </c>
      <c r="E94" s="359">
        <v>1.0303</v>
      </c>
      <c r="F94" s="367">
        <v>1.4799</v>
      </c>
      <c r="G94" s="367">
        <v>17.380000000000003</v>
      </c>
      <c r="H94" s="367">
        <v>36.9</v>
      </c>
      <c r="I94" s="367">
        <v>1.0854999999999999</v>
      </c>
      <c r="J94" s="367">
        <v>4</v>
      </c>
      <c r="K94" s="367">
        <v>1.3348285714285715</v>
      </c>
      <c r="L94" s="367">
        <v>2.0633666666666661</v>
      </c>
      <c r="M94" s="367">
        <v>1.0526809523809524</v>
      </c>
      <c r="N94" s="367">
        <v>1.4892333333333332</v>
      </c>
      <c r="O94" s="367">
        <v>17.217619047619053</v>
      </c>
      <c r="P94" s="367">
        <v>37.046666666666674</v>
      </c>
      <c r="Q94" s="367">
        <v>1.104542857142857</v>
      </c>
      <c r="R94" s="367">
        <v>3.9795238095238097</v>
      </c>
    </row>
    <row r="95" spans="1:18" ht="14.5">
      <c r="A95" s="472"/>
      <c r="B95" s="450" t="s">
        <v>110</v>
      </c>
      <c r="C95" s="359">
        <v>1.3473999999999999</v>
      </c>
      <c r="D95" s="359">
        <v>2.1175999999999999</v>
      </c>
      <c r="E95" s="359">
        <v>1.0385</v>
      </c>
      <c r="F95" s="367">
        <v>1.5018</v>
      </c>
      <c r="G95" s="367">
        <v>17.380000000000003</v>
      </c>
      <c r="H95" s="367">
        <v>35.92</v>
      </c>
      <c r="I95" s="367">
        <v>1.0999000000000001</v>
      </c>
      <c r="J95" s="368">
        <v>3.9899999999999998</v>
      </c>
      <c r="K95" s="367">
        <v>1.3449181818181821</v>
      </c>
      <c r="L95" s="367">
        <v>2.0962590909090917</v>
      </c>
      <c r="M95" s="367">
        <v>1.0385954545454548</v>
      </c>
      <c r="N95" s="367">
        <v>1.5110409090909087</v>
      </c>
      <c r="O95" s="367">
        <v>17.346363636363638</v>
      </c>
      <c r="P95" s="367">
        <v>36.012727272727268</v>
      </c>
      <c r="Q95" s="367">
        <v>1.087340909090909</v>
      </c>
      <c r="R95" s="367">
        <v>3.989090909090911</v>
      </c>
    </row>
    <row r="96" spans="1:18" ht="14.5">
      <c r="A96" s="472"/>
      <c r="B96" s="450" t="s">
        <v>117</v>
      </c>
      <c r="C96" s="359">
        <v>1.3722000000000001</v>
      </c>
      <c r="D96" s="359">
        <v>2.1435</v>
      </c>
      <c r="E96" s="359">
        <v>1.0024</v>
      </c>
      <c r="F96" s="367">
        <v>1.5074000000000001</v>
      </c>
      <c r="G96" s="367">
        <v>17.7</v>
      </c>
      <c r="H96" s="367">
        <v>35.86</v>
      </c>
      <c r="I96" s="367">
        <v>1.1076999999999999</v>
      </c>
      <c r="J96" s="367">
        <v>3.92</v>
      </c>
      <c r="K96" s="367">
        <v>1.3612521739130437</v>
      </c>
      <c r="L96" s="367">
        <v>2.1178608695652175</v>
      </c>
      <c r="M96" s="367">
        <v>1.0083608695652173</v>
      </c>
      <c r="N96" s="367">
        <v>1.4971739130434785</v>
      </c>
      <c r="O96" s="367">
        <v>17.559565217391306</v>
      </c>
      <c r="P96" s="367">
        <v>35.786521739130428</v>
      </c>
      <c r="Q96" s="367">
        <v>1.1038043478260871</v>
      </c>
      <c r="R96" s="367">
        <v>3.9647826086956535</v>
      </c>
    </row>
    <row r="97" spans="1:18" ht="14.5">
      <c r="A97" s="472"/>
      <c r="B97" s="450" t="s">
        <v>112</v>
      </c>
      <c r="C97" s="359">
        <v>1.4117999999999999</v>
      </c>
      <c r="D97" s="359">
        <v>2.1663000000000001</v>
      </c>
      <c r="E97" s="359">
        <v>1.0042</v>
      </c>
      <c r="F97" s="367">
        <v>1.5826</v>
      </c>
      <c r="G97" s="367">
        <v>18.22</v>
      </c>
      <c r="H97" s="367">
        <v>33.75</v>
      </c>
      <c r="I97" s="367">
        <v>1.1644000000000001</v>
      </c>
      <c r="J97" s="367">
        <v>3.94</v>
      </c>
      <c r="K97" s="367">
        <v>1.3984047619047617</v>
      </c>
      <c r="L97" s="367">
        <v>2.1782428571428571</v>
      </c>
      <c r="M97" s="367">
        <v>1.0200047619047621</v>
      </c>
      <c r="N97" s="367">
        <v>1.5585857142857147</v>
      </c>
      <c r="O97" s="367">
        <v>18.034761904761904</v>
      </c>
      <c r="P97" s="367">
        <v>34.456190476190471</v>
      </c>
      <c r="Q97" s="367">
        <v>1.1366714285714286</v>
      </c>
      <c r="R97" s="367">
        <v>3.9480952380952372</v>
      </c>
    </row>
    <row r="98" spans="1:18" ht="14.5">
      <c r="A98" s="472"/>
      <c r="B98" s="450" t="s">
        <v>113</v>
      </c>
      <c r="C98" s="359">
        <v>1.4225000000000001</v>
      </c>
      <c r="D98" s="359">
        <v>2.1520000000000001</v>
      </c>
      <c r="E98" s="359">
        <v>0.99809999999999999</v>
      </c>
      <c r="F98" s="367">
        <v>1.5895999999999999</v>
      </c>
      <c r="G98" s="367">
        <v>18.350000000000001</v>
      </c>
      <c r="H98" s="367">
        <v>32.379999999999995</v>
      </c>
      <c r="I98" s="367">
        <v>1.1865000000000001</v>
      </c>
      <c r="J98" s="367">
        <v>3.91</v>
      </c>
      <c r="K98" s="367">
        <v>1.4154454545454547</v>
      </c>
      <c r="L98" s="367">
        <v>2.1697000000000002</v>
      </c>
      <c r="M98" s="367">
        <v>0.99853636363636367</v>
      </c>
      <c r="N98" s="367">
        <v>1.5903136363636363</v>
      </c>
      <c r="O98" s="367">
        <v>18.259999999999998</v>
      </c>
      <c r="P98" s="367">
        <v>32.841818181818176</v>
      </c>
      <c r="Q98" s="367">
        <v>1.1785636363636363</v>
      </c>
      <c r="R98" s="367">
        <v>3.9272727272727264</v>
      </c>
    </row>
    <row r="99" spans="1:18" ht="14.5">
      <c r="A99" s="472"/>
      <c r="B99" s="450" t="s">
        <v>114</v>
      </c>
      <c r="C99" s="367">
        <v>1.4015</v>
      </c>
      <c r="D99" s="367">
        <v>2.1589999999999998</v>
      </c>
      <c r="E99" s="367">
        <v>1.0002</v>
      </c>
      <c r="F99" s="367">
        <v>1.5406</v>
      </c>
      <c r="G99" s="367">
        <v>18.07</v>
      </c>
      <c r="H99" s="367">
        <v>32.590000000000003</v>
      </c>
      <c r="I99" s="367">
        <v>1.161</v>
      </c>
      <c r="J99" s="367">
        <v>3.93</v>
      </c>
      <c r="K99" s="367">
        <v>1.4009090909090909</v>
      </c>
      <c r="L99" s="367">
        <v>2.1479545454545454</v>
      </c>
      <c r="M99" s="367">
        <v>1.0094409090909091</v>
      </c>
      <c r="N99" s="367">
        <v>1.5717045454545451</v>
      </c>
      <c r="O99" s="367">
        <v>18.0745454545455</v>
      </c>
      <c r="P99" s="367">
        <v>32.9031818181818</v>
      </c>
      <c r="Q99" s="367">
        <v>1.1658045454545454</v>
      </c>
      <c r="R99" s="367">
        <v>3.9240909090909097</v>
      </c>
    </row>
    <row r="100" spans="1:18" ht="14.5">
      <c r="A100" s="472"/>
      <c r="B100" s="450" t="s">
        <v>115</v>
      </c>
      <c r="C100" s="367">
        <v>1.4109</v>
      </c>
      <c r="D100" s="367">
        <v>2.1242999999999999</v>
      </c>
      <c r="E100" s="367">
        <v>1.0199</v>
      </c>
      <c r="F100" s="367">
        <v>1.4906999999999999</v>
      </c>
      <c r="G100" s="367">
        <v>18.2</v>
      </c>
      <c r="H100" s="367">
        <v>33.159999999999997</v>
      </c>
      <c r="I100" s="367">
        <v>1.1459999999999999</v>
      </c>
      <c r="J100" s="367">
        <v>3.94</v>
      </c>
      <c r="K100" s="367">
        <v>1.4138190476190478</v>
      </c>
      <c r="L100" s="367">
        <v>2.1483571428571429</v>
      </c>
      <c r="M100" s="367">
        <v>1.0109571428571429</v>
      </c>
      <c r="N100" s="367">
        <v>1.5169999999999999</v>
      </c>
      <c r="O100" s="367">
        <v>18.241904761904799</v>
      </c>
      <c r="P100" s="367">
        <v>32.759523809523799</v>
      </c>
      <c r="Q100" s="367">
        <v>1.1529571428571428</v>
      </c>
      <c r="R100" s="367">
        <v>3.9509523809523799</v>
      </c>
    </row>
    <row r="101" spans="1:18" ht="14.5">
      <c r="A101" s="472"/>
      <c r="B101" s="450" t="s">
        <v>116</v>
      </c>
      <c r="C101" s="367">
        <v>1.4178999999999999</v>
      </c>
      <c r="D101" s="367">
        <v>2.0891000000000002</v>
      </c>
      <c r="E101" s="367">
        <v>1.0331999999999999</v>
      </c>
      <c r="F101" s="367">
        <v>1.5399</v>
      </c>
      <c r="G101" s="367">
        <v>18.3</v>
      </c>
      <c r="H101" s="367">
        <v>32.96</v>
      </c>
      <c r="I101" s="367">
        <v>1.1794</v>
      </c>
      <c r="J101" s="367">
        <v>3.94</v>
      </c>
      <c r="K101" s="367">
        <v>1.4077869565217389</v>
      </c>
      <c r="L101" s="367">
        <v>2.1085217391304352</v>
      </c>
      <c r="M101" s="367">
        <v>1.0207521739130434</v>
      </c>
      <c r="N101" s="367">
        <v>1.5344086956521741</v>
      </c>
      <c r="O101" s="367">
        <v>18.1621739130435</v>
      </c>
      <c r="P101" s="367">
        <v>32.880434782608702</v>
      </c>
      <c r="Q101" s="367">
        <v>1.1580217391304346</v>
      </c>
      <c r="R101" s="367">
        <v>3.9086956521739142</v>
      </c>
    </row>
    <row r="102" spans="1:18" ht="14.5">
      <c r="A102" s="471">
        <v>2016</v>
      </c>
      <c r="B102" s="454" t="s">
        <v>105</v>
      </c>
      <c r="C102" s="371">
        <v>1.4242999999999999</v>
      </c>
      <c r="D102" s="372">
        <v>2.0284</v>
      </c>
      <c r="E102" s="371">
        <v>1.0086999999999999</v>
      </c>
      <c r="F102" s="372">
        <v>1.5426</v>
      </c>
      <c r="G102" s="371">
        <v>18.3</v>
      </c>
      <c r="H102" s="372">
        <v>34.33</v>
      </c>
      <c r="I102" s="371">
        <v>1.1757</v>
      </c>
      <c r="J102" s="372">
        <v>3.99</v>
      </c>
      <c r="K102" s="371">
        <v>1.4323999999999999</v>
      </c>
      <c r="L102" s="372">
        <v>2.0621</v>
      </c>
      <c r="M102" s="371">
        <v>1.0044</v>
      </c>
      <c r="N102" s="372">
        <v>1.5564</v>
      </c>
      <c r="O102" s="371">
        <v>18.41</v>
      </c>
      <c r="P102" s="372">
        <v>33</v>
      </c>
      <c r="Q102" s="371">
        <v>1.2210000000000001</v>
      </c>
      <c r="R102" s="373">
        <v>3.9633000000000003</v>
      </c>
    </row>
    <row r="103" spans="1:18" ht="14.5">
      <c r="A103" s="472"/>
      <c r="B103" s="455" t="s">
        <v>106</v>
      </c>
      <c r="C103" s="367">
        <v>1.4067000000000001</v>
      </c>
      <c r="D103" s="368">
        <v>1.9573</v>
      </c>
      <c r="E103" s="367">
        <v>1.0044999999999999</v>
      </c>
      <c r="F103" s="368">
        <v>1.5296000000000001</v>
      </c>
      <c r="G103" s="367">
        <v>18.09</v>
      </c>
      <c r="H103" s="368">
        <v>33.43</v>
      </c>
      <c r="I103" s="367">
        <v>1.2481</v>
      </c>
      <c r="J103" s="368">
        <v>3.94</v>
      </c>
      <c r="K103" s="367">
        <v>1.4047000000000001</v>
      </c>
      <c r="L103" s="368">
        <v>2.0106999999999999</v>
      </c>
      <c r="M103" s="367">
        <v>1.0028999999999999</v>
      </c>
      <c r="N103" s="368">
        <v>1.5596000000000001</v>
      </c>
      <c r="O103" s="367">
        <v>18.04</v>
      </c>
      <c r="P103" s="368">
        <v>33.56</v>
      </c>
      <c r="Q103" s="367">
        <v>1.2254</v>
      </c>
      <c r="R103" s="361">
        <v>3.9438</v>
      </c>
    </row>
    <row r="104" spans="1:18" ht="14.5">
      <c r="A104" s="472"/>
      <c r="B104" s="455" t="s">
        <v>107</v>
      </c>
      <c r="C104" s="367">
        <v>1.3483000000000001</v>
      </c>
      <c r="D104" s="368">
        <v>1.9363999999999999</v>
      </c>
      <c r="E104" s="367">
        <v>1.0324</v>
      </c>
      <c r="F104" s="368">
        <v>1.5344</v>
      </c>
      <c r="G104" s="367">
        <v>17.38</v>
      </c>
      <c r="H104" s="368">
        <v>34.729999999999997</v>
      </c>
      <c r="I104" s="367">
        <v>1.1978</v>
      </c>
      <c r="J104" s="368">
        <v>3.84</v>
      </c>
      <c r="K104" s="367">
        <v>1.3714</v>
      </c>
      <c r="L104" s="368">
        <v>1.9544999999999999</v>
      </c>
      <c r="M104" s="367">
        <v>1.0297000000000001</v>
      </c>
      <c r="N104" s="368">
        <v>1.5278</v>
      </c>
      <c r="O104" s="367">
        <v>17.670000000000002</v>
      </c>
      <c r="P104" s="368">
        <v>33.799999999999997</v>
      </c>
      <c r="Q104" s="367">
        <v>1.2142999999999999</v>
      </c>
      <c r="R104" s="361">
        <v>3.8961000000000001</v>
      </c>
    </row>
    <row r="105" spans="1:18" ht="14.5">
      <c r="A105" s="472"/>
      <c r="B105" s="455" t="s">
        <v>108</v>
      </c>
      <c r="C105" s="367">
        <v>1.3441000000000001</v>
      </c>
      <c r="D105" s="368">
        <v>1.9634</v>
      </c>
      <c r="E105" s="367">
        <v>1.0222</v>
      </c>
      <c r="F105" s="368">
        <v>1.5395000000000001</v>
      </c>
      <c r="G105" s="367">
        <v>17.330000000000002</v>
      </c>
      <c r="H105" s="368">
        <v>34.35</v>
      </c>
      <c r="I105" s="367">
        <v>1.2636000000000001</v>
      </c>
      <c r="J105" s="368">
        <v>3.85</v>
      </c>
      <c r="K105" s="367">
        <v>1.3497761904761902</v>
      </c>
      <c r="L105" s="368">
        <v>1.9319952380952377</v>
      </c>
      <c r="M105" s="367">
        <v>1.0343047619047621</v>
      </c>
      <c r="N105" s="368">
        <v>1.5307380952380951</v>
      </c>
      <c r="O105" s="367">
        <v>17.400952380952383</v>
      </c>
      <c r="P105" s="368">
        <v>34.642857142857139</v>
      </c>
      <c r="Q105" s="367">
        <v>1.2320333333333333</v>
      </c>
      <c r="R105" s="361">
        <v>3.8476190476190477</v>
      </c>
    </row>
    <row r="106" spans="1:18" ht="14.5">
      <c r="A106" s="472"/>
      <c r="B106" s="455" t="s">
        <v>109</v>
      </c>
      <c r="C106" s="367">
        <v>1.3775999999999999</v>
      </c>
      <c r="D106" s="368">
        <v>1.9961</v>
      </c>
      <c r="E106" s="367">
        <v>0.99660000000000004</v>
      </c>
      <c r="F106" s="368">
        <v>1.5336000000000001</v>
      </c>
      <c r="G106" s="367">
        <v>17.73</v>
      </c>
      <c r="H106" s="368">
        <v>33.489999999999995</v>
      </c>
      <c r="I106" s="367">
        <v>1.2442</v>
      </c>
      <c r="J106" s="368">
        <v>3.85</v>
      </c>
      <c r="K106" s="367">
        <v>1.3707181818181817</v>
      </c>
      <c r="L106" s="368">
        <v>1.9908909090909086</v>
      </c>
      <c r="M106" s="367">
        <v>1.0019227272727271</v>
      </c>
      <c r="N106" s="368">
        <v>1.5484818181818183</v>
      </c>
      <c r="O106" s="367">
        <v>17.654999999999994</v>
      </c>
      <c r="P106" s="368">
        <v>33.86363636363636</v>
      </c>
      <c r="Q106" s="367">
        <v>1.2577227272727276</v>
      </c>
      <c r="R106" s="361">
        <v>3.8677272727272727</v>
      </c>
    </row>
    <row r="107" spans="1:18" ht="14.5">
      <c r="A107" s="472"/>
      <c r="B107" s="455" t="s">
        <v>110</v>
      </c>
      <c r="C107" s="367">
        <v>1.347</v>
      </c>
      <c r="D107" s="368">
        <v>1.7946</v>
      </c>
      <c r="E107" s="367">
        <v>1.0038</v>
      </c>
      <c r="F107" s="368">
        <v>1.4961</v>
      </c>
      <c r="G107" s="367">
        <v>17.330000000000002</v>
      </c>
      <c r="H107" s="368">
        <v>34.35</v>
      </c>
      <c r="I107" s="367">
        <v>1.2636000000000001</v>
      </c>
      <c r="J107" s="368">
        <v>3.85</v>
      </c>
      <c r="K107" s="367">
        <v>1.3529227272727271</v>
      </c>
      <c r="L107" s="368">
        <v>1.9224954545454545</v>
      </c>
      <c r="M107" s="367">
        <v>1.0022454545454544</v>
      </c>
      <c r="N107" s="368">
        <v>1.5206727272727272</v>
      </c>
      <c r="O107" s="367">
        <v>17.43</v>
      </c>
      <c r="P107" s="368">
        <v>33.274999999999999</v>
      </c>
      <c r="Q107" s="367">
        <v>1.2833227272727277</v>
      </c>
      <c r="R107" s="361">
        <v>3.8372727272727265</v>
      </c>
    </row>
    <row r="108" spans="1:18" ht="14.5">
      <c r="A108" s="472"/>
      <c r="B108" s="455" t="s">
        <v>117</v>
      </c>
      <c r="C108" s="367">
        <v>1.341</v>
      </c>
      <c r="D108" s="368">
        <v>1.7733000000000001</v>
      </c>
      <c r="E108" s="367">
        <v>1.018</v>
      </c>
      <c r="F108" s="368">
        <v>1.5001</v>
      </c>
      <c r="G108" s="367">
        <f>0.1728*100</f>
        <v>17.28</v>
      </c>
      <c r="H108" s="368">
        <f>0.3331*100</f>
        <v>33.31</v>
      </c>
      <c r="I108" s="367">
        <v>1.3139000000000001</v>
      </c>
      <c r="J108" s="368">
        <f>0.0386*100</f>
        <v>3.8600000000000003</v>
      </c>
      <c r="K108" s="367">
        <v>1.3506619047619051</v>
      </c>
      <c r="L108" s="368">
        <v>1.7761761904761908</v>
      </c>
      <c r="M108" s="367">
        <v>1.017004761904762</v>
      </c>
      <c r="N108" s="368">
        <v>1.4945761904761901</v>
      </c>
      <c r="O108" s="367">
        <f>0.174104761904762*100</f>
        <v>17.410476190476203</v>
      </c>
      <c r="P108" s="368">
        <f>0.33602380952381*100</f>
        <v>33.602380952380997</v>
      </c>
      <c r="Q108" s="367">
        <v>1.2981761904761906</v>
      </c>
      <c r="R108" s="361">
        <f>0.0385285714285714*100</f>
        <v>3.8528571428571396</v>
      </c>
    </row>
    <row r="109" spans="1:18" ht="14.5">
      <c r="A109" s="472"/>
      <c r="B109" s="455" t="s">
        <v>112</v>
      </c>
      <c r="C109" s="367">
        <v>1.3626</v>
      </c>
      <c r="D109" s="368">
        <v>1.7902</v>
      </c>
      <c r="E109" s="367">
        <v>1.0244</v>
      </c>
      <c r="F109" s="368">
        <v>1.5202</v>
      </c>
      <c r="G109" s="367">
        <f>0.1756*100</f>
        <v>17.560000000000002</v>
      </c>
      <c r="H109" s="368">
        <f>0.3326*100</f>
        <v>33.26</v>
      </c>
      <c r="I109" s="367">
        <v>1.3172999999999999</v>
      </c>
      <c r="J109" s="368">
        <f>0.0394*100</f>
        <v>3.94</v>
      </c>
      <c r="K109" s="367">
        <v>1.347973913043478</v>
      </c>
      <c r="L109" s="368">
        <v>1.7664086956521741</v>
      </c>
      <c r="M109" s="367">
        <v>1.0274434782608699</v>
      </c>
      <c r="N109" s="368">
        <v>1.5104347826086955</v>
      </c>
      <c r="O109" s="367">
        <f>0.173786956521739*100</f>
        <v>17.378695652173899</v>
      </c>
      <c r="P109" s="368">
        <f>0.334726086956522*100</f>
        <v>33.472608695652198</v>
      </c>
      <c r="Q109" s="367">
        <v>1.3305391304347822</v>
      </c>
      <c r="R109" s="361">
        <f>0.0388130434782609*100</f>
        <v>3.8813043478260902</v>
      </c>
    </row>
    <row r="110" spans="1:18" ht="14.5">
      <c r="A110" s="472"/>
      <c r="B110" s="455" t="s">
        <v>113</v>
      </c>
      <c r="C110" s="367">
        <v>1.3629</v>
      </c>
      <c r="D110" s="368">
        <v>1.7679</v>
      </c>
      <c r="E110" s="367">
        <v>1.0442</v>
      </c>
      <c r="F110" s="368">
        <v>1.5354000000000001</v>
      </c>
      <c r="G110" s="367">
        <f>0.1758*100</f>
        <v>17.580000000000002</v>
      </c>
      <c r="H110" s="368">
        <f>0.3303*100</f>
        <v>33.03</v>
      </c>
      <c r="I110" s="367">
        <v>1.3452999999999999</v>
      </c>
      <c r="J110" s="368">
        <f>0.0394*100</f>
        <v>3.94</v>
      </c>
      <c r="K110" s="367">
        <v>1.3589727272727272</v>
      </c>
      <c r="L110" s="368">
        <v>1.7867909090909093</v>
      </c>
      <c r="M110" s="367">
        <v>1.0317227272727274</v>
      </c>
      <c r="N110" s="368">
        <v>1.5239318181818182</v>
      </c>
      <c r="O110" s="367">
        <f>0.175195454545455*100</f>
        <v>17.519545454545497</v>
      </c>
      <c r="P110" s="368">
        <f>0.3308*100</f>
        <v>33.08</v>
      </c>
      <c r="Q110" s="367">
        <v>1.3346454545454545</v>
      </c>
      <c r="R110" s="361">
        <f>0.0391363636363636*100</f>
        <v>3.91363636363636</v>
      </c>
    </row>
    <row r="111" spans="1:18" ht="14.5">
      <c r="A111" s="472"/>
      <c r="B111" s="455" t="s">
        <v>114</v>
      </c>
      <c r="C111" s="367">
        <v>1.3911</v>
      </c>
      <c r="D111" s="368">
        <v>1.7047000000000001</v>
      </c>
      <c r="E111" s="367">
        <v>1.0585</v>
      </c>
      <c r="F111" s="368">
        <v>1.5275000000000001</v>
      </c>
      <c r="G111" s="367">
        <f>0.1794*100</f>
        <v>17.940000000000001</v>
      </c>
      <c r="H111" s="368">
        <f>0.3315*100</f>
        <v>33.15</v>
      </c>
      <c r="I111" s="367">
        <v>1.3270999999999999</v>
      </c>
      <c r="J111" s="368">
        <v>3.9699999999999998</v>
      </c>
      <c r="K111" s="367">
        <v>1.3839000000000001</v>
      </c>
      <c r="L111" s="368">
        <v>1.7068809523809523</v>
      </c>
      <c r="M111" s="367">
        <v>1.0539285714285713</v>
      </c>
      <c r="N111" s="368">
        <v>1.525657142857143</v>
      </c>
      <c r="O111" s="367">
        <f>0.178395238095238*100</f>
        <v>17.839523809523801</v>
      </c>
      <c r="P111" s="368">
        <f>0.331466666666667*100</f>
        <v>33.146666666666704</v>
      </c>
      <c r="Q111" s="367">
        <v>1.3326047619047621</v>
      </c>
      <c r="R111" s="361">
        <v>3.9466666666666672</v>
      </c>
    </row>
    <row r="112" spans="1:18" ht="14.5">
      <c r="A112" s="472"/>
      <c r="B112" s="455" t="s">
        <v>115</v>
      </c>
      <c r="C112" s="367">
        <v>1.4335</v>
      </c>
      <c r="D112" s="368">
        <v>1.7907999999999999</v>
      </c>
      <c r="E112" s="367">
        <v>1.0588</v>
      </c>
      <c r="F112" s="368">
        <v>1.5184</v>
      </c>
      <c r="G112" s="367">
        <f>0.1848*100</f>
        <v>18.48</v>
      </c>
      <c r="H112" s="368">
        <f>0.3208*100</f>
        <v>32.08</v>
      </c>
      <c r="I112" s="367">
        <v>1.2524</v>
      </c>
      <c r="J112" s="368">
        <v>4.0199999999999996</v>
      </c>
      <c r="K112" s="367">
        <v>1.4114000000000002</v>
      </c>
      <c r="L112" s="368">
        <v>1.7559636363636364</v>
      </c>
      <c r="M112" s="367">
        <v>1.0624909090909092</v>
      </c>
      <c r="N112" s="368">
        <v>1.5223045454545456</v>
      </c>
      <c r="O112" s="367">
        <f>0.181977272727273*100</f>
        <v>18.197727272727299</v>
      </c>
      <c r="P112" s="368">
        <f>0.325122727272727*100</f>
        <v>32.512272727272702</v>
      </c>
      <c r="Q112" s="367">
        <v>1.3002772727272727</v>
      </c>
      <c r="R112" s="361">
        <v>3.9913636363636358</v>
      </c>
    </row>
    <row r="113" spans="1:18" ht="14.5">
      <c r="A113" s="473"/>
      <c r="B113" s="456" t="s">
        <v>116</v>
      </c>
      <c r="C113" s="369">
        <v>1.4460999999999999</v>
      </c>
      <c r="D113" s="370">
        <v>1.7859</v>
      </c>
      <c r="E113" s="369">
        <v>1.0419</v>
      </c>
      <c r="F113" s="370">
        <v>1.5218</v>
      </c>
      <c r="G113" s="369">
        <f>0.1866*100</f>
        <v>18.66</v>
      </c>
      <c r="H113" s="370">
        <f>0.3223*100</f>
        <v>32.229999999999997</v>
      </c>
      <c r="I113" s="369">
        <v>1.2364999999999999</v>
      </c>
      <c r="J113" s="370">
        <v>4.04</v>
      </c>
      <c r="K113" s="369">
        <v>1.4367681818181817</v>
      </c>
      <c r="L113" s="370">
        <v>1.7919181818181813</v>
      </c>
      <c r="M113" s="369">
        <v>1.0537727272727271</v>
      </c>
      <c r="N113" s="370">
        <v>1.5139772727272727</v>
      </c>
      <c r="O113" s="369">
        <f>0.185186363636364*100</f>
        <v>18.5186363636364</v>
      </c>
      <c r="P113" s="370">
        <f>0.322072727272727*100</f>
        <v>32.207272727272702</v>
      </c>
      <c r="Q113" s="369">
        <v>1.2375318181818182</v>
      </c>
      <c r="R113" s="364">
        <v>4.0136363636363654</v>
      </c>
    </row>
    <row r="114" spans="1:18" ht="14.5">
      <c r="A114" s="471">
        <v>2017</v>
      </c>
      <c r="B114" s="454" t="s">
        <v>105</v>
      </c>
      <c r="C114" s="371">
        <v>1.4097999999999999</v>
      </c>
      <c r="D114" s="372">
        <v>1.7732000000000001</v>
      </c>
      <c r="E114" s="371">
        <v>1.0694999999999999</v>
      </c>
      <c r="F114" s="372">
        <v>1.5221</v>
      </c>
      <c r="G114" s="371">
        <v>18.170000000000002</v>
      </c>
      <c r="H114" s="372">
        <f>0.3183*100</f>
        <v>31.830000000000002</v>
      </c>
      <c r="I114" s="371">
        <v>1.25</v>
      </c>
      <c r="J114" s="372">
        <v>4.0199999999999996</v>
      </c>
      <c r="K114" s="371">
        <v>1.4287000000000001</v>
      </c>
      <c r="L114" s="372">
        <v>1.7648999999999999</v>
      </c>
      <c r="M114" s="371">
        <v>1.0656000000000001</v>
      </c>
      <c r="N114" s="372">
        <v>1.5187999999999999</v>
      </c>
      <c r="O114" s="371">
        <f>0.1842*100</f>
        <v>18.420000000000002</v>
      </c>
      <c r="P114" s="372">
        <f>0.3207*100</f>
        <v>32.07</v>
      </c>
      <c r="Q114" s="371">
        <v>1.2432000000000001</v>
      </c>
      <c r="R114" s="373">
        <v>4.03</v>
      </c>
    </row>
    <row r="115" spans="1:18" ht="14.5">
      <c r="A115" s="472"/>
      <c r="B115" s="455" t="s">
        <v>106</v>
      </c>
      <c r="C115" s="367">
        <v>1.4025000000000001</v>
      </c>
      <c r="D115" s="368">
        <v>1.7374000000000001</v>
      </c>
      <c r="E115" s="367">
        <v>1.0741000000000001</v>
      </c>
      <c r="F115" s="368">
        <v>1.484</v>
      </c>
      <c r="G115" s="367">
        <v>18.07</v>
      </c>
      <c r="H115" s="368">
        <f>0.316*100</f>
        <v>31.6</v>
      </c>
      <c r="I115" s="367">
        <v>1.244</v>
      </c>
      <c r="J115" s="368">
        <v>4.0199999999999996</v>
      </c>
      <c r="K115" s="367">
        <v>1.4142999999999999</v>
      </c>
      <c r="L115" s="368">
        <v>1.7658</v>
      </c>
      <c r="M115" s="367">
        <v>1.0842000000000001</v>
      </c>
      <c r="N115" s="368">
        <v>1.5048999999999999</v>
      </c>
      <c r="O115" s="367">
        <f>0.1823*100</f>
        <v>18.23</v>
      </c>
      <c r="P115" s="368">
        <f>0.3183*100</f>
        <v>31.830000000000002</v>
      </c>
      <c r="Q115" s="367">
        <v>1.2519</v>
      </c>
      <c r="R115" s="361">
        <v>4.0395000000000003</v>
      </c>
    </row>
    <row r="116" spans="1:18" ht="14.5">
      <c r="A116" s="472"/>
      <c r="B116" s="455" t="s">
        <v>107</v>
      </c>
      <c r="C116" s="367">
        <v>1.3973</v>
      </c>
      <c r="D116" s="368">
        <v>1.7515000000000001</v>
      </c>
      <c r="E116" s="367">
        <v>1.0658000000000001</v>
      </c>
      <c r="F116" s="368">
        <v>1.488</v>
      </c>
      <c r="G116" s="367">
        <v>17.98</v>
      </c>
      <c r="H116" s="368">
        <f>0.3157*100</f>
        <v>31.569999999999997</v>
      </c>
      <c r="I116" s="367">
        <v>1.2544999999999999</v>
      </c>
      <c r="J116" s="368">
        <v>4.07</v>
      </c>
      <c r="K116" s="367">
        <v>1.405</v>
      </c>
      <c r="L116" s="368">
        <v>1.7344999999999999</v>
      </c>
      <c r="M116" s="367">
        <v>1.071</v>
      </c>
      <c r="N116" s="368">
        <v>1.5015000000000001</v>
      </c>
      <c r="O116" s="367">
        <f>0.1809*100</f>
        <v>18.09</v>
      </c>
      <c r="P116" s="368">
        <f>0.3166*100</f>
        <v>31.66</v>
      </c>
      <c r="Q116" s="367">
        <v>1.2444</v>
      </c>
      <c r="R116" s="361">
        <v>4.0304000000000002</v>
      </c>
    </row>
    <row r="117" spans="1:18" ht="14.5">
      <c r="A117" s="472"/>
      <c r="B117" s="455" t="s">
        <v>108</v>
      </c>
      <c r="C117" s="367">
        <v>1.3967000000000001</v>
      </c>
      <c r="D117" s="368">
        <v>1.8096000000000001</v>
      </c>
      <c r="E117" s="367">
        <v>1.0465</v>
      </c>
      <c r="F117" s="368">
        <v>1.5219</v>
      </c>
      <c r="G117" s="367">
        <v>17.96</v>
      </c>
      <c r="H117" s="368">
        <v>32.18</v>
      </c>
      <c r="I117" s="367">
        <v>1.2528999999999999</v>
      </c>
      <c r="J117" s="368">
        <v>4.04</v>
      </c>
      <c r="K117" s="367">
        <v>1.3984399999999999</v>
      </c>
      <c r="L117" s="368">
        <v>1.7681200000000001</v>
      </c>
      <c r="M117" s="367">
        <v>1.0537799999999999</v>
      </c>
      <c r="N117" s="368">
        <v>1.4987999999999997</v>
      </c>
      <c r="O117" s="367">
        <v>17.9895</v>
      </c>
      <c r="P117" s="368">
        <v>31.745999999999995</v>
      </c>
      <c r="Q117" s="367">
        <v>1.270915</v>
      </c>
      <c r="R117" s="361">
        <v>4.0599999999999987</v>
      </c>
    </row>
    <row r="118" spans="1:18" ht="14.5">
      <c r="A118" s="472"/>
      <c r="B118" s="455" t="s">
        <v>109</v>
      </c>
      <c r="C118" s="367">
        <v>1.3832</v>
      </c>
      <c r="D118" s="368">
        <v>1.7829999999999999</v>
      </c>
      <c r="E118" s="367">
        <v>1.0277000000000001</v>
      </c>
      <c r="F118" s="368">
        <v>1.5552999999999999</v>
      </c>
      <c r="G118" s="367">
        <v>17.75</v>
      </c>
      <c r="H118" s="368">
        <v>32.24</v>
      </c>
      <c r="I118" s="367">
        <v>1.2484</v>
      </c>
      <c r="J118" s="368">
        <v>4.0599999999999996</v>
      </c>
      <c r="K118" s="367">
        <v>1.3947347826086955</v>
      </c>
      <c r="L118" s="368">
        <v>1.8024956521739128</v>
      </c>
      <c r="M118" s="367">
        <v>1.0370521739130436</v>
      </c>
      <c r="N118" s="368">
        <v>1.5421304347826088</v>
      </c>
      <c r="O118" s="367">
        <v>17.912608695652175</v>
      </c>
      <c r="P118" s="368">
        <v>32.312173913043473</v>
      </c>
      <c r="Q118" s="367">
        <v>1.2426391304347826</v>
      </c>
      <c r="R118" s="361">
        <v>4.0482608695652162</v>
      </c>
    </row>
    <row r="119" spans="1:18" ht="14.5">
      <c r="A119" s="472"/>
      <c r="B119" s="455" t="s">
        <v>110</v>
      </c>
      <c r="C119" s="367">
        <v>1.3764000000000001</v>
      </c>
      <c r="D119" s="368">
        <v>1.7927</v>
      </c>
      <c r="E119" s="367">
        <v>1.0582</v>
      </c>
      <c r="F119" s="368">
        <v>1.5729</v>
      </c>
      <c r="G119" s="367">
        <v>17.630000000000003</v>
      </c>
      <c r="H119" s="368">
        <v>32.029999999999994</v>
      </c>
      <c r="I119" s="367">
        <v>1.2251000000000001</v>
      </c>
      <c r="J119" s="368">
        <v>4.0599999999999996</v>
      </c>
      <c r="K119" s="367">
        <v>1.3836409090909092</v>
      </c>
      <c r="L119" s="368">
        <v>1.7729863636363634</v>
      </c>
      <c r="M119" s="367">
        <v>1.0461181818181817</v>
      </c>
      <c r="N119" s="368">
        <v>1.5548454545454549</v>
      </c>
      <c r="O119" s="367">
        <v>17.742727272727272</v>
      </c>
      <c r="P119" s="368">
        <v>32.334545454545449</v>
      </c>
      <c r="Q119" s="367">
        <v>1.2469636363636365</v>
      </c>
      <c r="R119" s="361">
        <v>4.0699999999999985</v>
      </c>
    </row>
    <row r="120" spans="1:18" ht="14.5">
      <c r="A120" s="472"/>
      <c r="B120" s="455" t="s">
        <v>117</v>
      </c>
      <c r="C120" s="367">
        <v>1.3551</v>
      </c>
      <c r="D120" s="368">
        <v>1.7921</v>
      </c>
      <c r="E120" s="367">
        <v>1.0844</v>
      </c>
      <c r="F120" s="368">
        <v>1.6045</v>
      </c>
      <c r="G120" s="367">
        <v>17.349999999999998</v>
      </c>
      <c r="H120" s="368">
        <v>31.64</v>
      </c>
      <c r="I120" s="367">
        <v>1.2289000000000001</v>
      </c>
      <c r="J120" s="368">
        <v>4.07</v>
      </c>
      <c r="K120" s="367">
        <v>1.3707190476190476</v>
      </c>
      <c r="L120" s="368">
        <v>1.7818904761904761</v>
      </c>
      <c r="M120" s="367">
        <v>1.0696952380952378</v>
      </c>
      <c r="N120" s="368">
        <v>1.5806857142857145</v>
      </c>
      <c r="O120" s="367">
        <v>17.554761904761907</v>
      </c>
      <c r="P120" s="368">
        <v>31.951428571428576</v>
      </c>
      <c r="Q120" s="367">
        <v>1.2197476190476191</v>
      </c>
      <c r="R120" s="361">
        <v>4.0657142857142841</v>
      </c>
    </row>
    <row r="121" spans="1:18" ht="14.5">
      <c r="A121" s="472"/>
      <c r="B121" s="455" t="s">
        <v>112</v>
      </c>
      <c r="C121" s="367">
        <v>1.3556999999999999</v>
      </c>
      <c r="D121" s="368">
        <v>1.7529999999999999</v>
      </c>
      <c r="E121" s="367">
        <v>1.0771999999999999</v>
      </c>
      <c r="F121" s="368">
        <v>1.6149</v>
      </c>
      <c r="G121" s="367">
        <v>17.32</v>
      </c>
      <c r="H121" s="368">
        <v>31.740000000000002</v>
      </c>
      <c r="I121" s="367">
        <v>1.2326999999999999</v>
      </c>
      <c r="J121" s="368">
        <v>4.09</v>
      </c>
      <c r="K121" s="367">
        <v>1.3608173913043478</v>
      </c>
      <c r="L121" s="368">
        <v>1.7629782608695657</v>
      </c>
      <c r="M121" s="367">
        <v>1.0771043478260871</v>
      </c>
      <c r="N121" s="368">
        <v>1.6082043478260868</v>
      </c>
      <c r="O121" s="367">
        <v>17.398695652173917</v>
      </c>
      <c r="P121" s="368">
        <v>31.768260869565225</v>
      </c>
      <c r="Q121" s="367">
        <v>1.2389565217391307</v>
      </c>
      <c r="R121" s="361">
        <v>4.0930434782608698</v>
      </c>
    </row>
    <row r="122" spans="1:18" ht="14.5">
      <c r="A122" s="472"/>
      <c r="B122" s="450" t="s">
        <v>113</v>
      </c>
      <c r="C122" s="367">
        <v>1.3575999999999999</v>
      </c>
      <c r="D122" s="368">
        <v>1.82</v>
      </c>
      <c r="E122" s="367">
        <v>1.0638000000000001</v>
      </c>
      <c r="F122" s="368">
        <v>1.6039000000000001</v>
      </c>
      <c r="G122" s="367">
        <v>17.380000000000003</v>
      </c>
      <c r="H122" s="368">
        <v>32.15</v>
      </c>
      <c r="I122" s="367">
        <v>1.2064999999999999</v>
      </c>
      <c r="J122" s="368">
        <v>4.08</v>
      </c>
      <c r="K122" s="367">
        <v>1.3502000000000003</v>
      </c>
      <c r="L122" s="368">
        <v>1.7984047619047618</v>
      </c>
      <c r="M122" s="367">
        <v>1.0756714285714284</v>
      </c>
      <c r="N122" s="368">
        <v>1.6074714285714287</v>
      </c>
      <c r="O122" s="367">
        <v>17.279999999999998</v>
      </c>
      <c r="P122" s="368">
        <v>32.043333333333337</v>
      </c>
      <c r="Q122" s="367">
        <v>1.2188285714285714</v>
      </c>
      <c r="R122" s="361">
        <v>4.0728571428571412</v>
      </c>
    </row>
    <row r="123" spans="1:18" ht="14.5">
      <c r="A123" s="472"/>
      <c r="B123" s="455" t="s">
        <v>114</v>
      </c>
      <c r="C123" s="367">
        <v>1.3628</v>
      </c>
      <c r="D123" s="368">
        <v>1.8104</v>
      </c>
      <c r="E123" s="367">
        <v>1.0432999999999999</v>
      </c>
      <c r="F123" s="368">
        <v>1.5871</v>
      </c>
      <c r="G123" s="367">
        <v>17.47</v>
      </c>
      <c r="H123" s="368">
        <f>0.322*100</f>
        <v>32.200000000000003</v>
      </c>
      <c r="I123" s="367">
        <v>1.1992</v>
      </c>
      <c r="J123" s="368">
        <v>4.1000000000000005</v>
      </c>
      <c r="K123" s="367">
        <v>1.3600363636363637</v>
      </c>
      <c r="L123" s="368">
        <v>1.7947500000000003</v>
      </c>
      <c r="M123" s="367">
        <v>1.0588499999999998</v>
      </c>
      <c r="N123" s="368">
        <v>1.5983590909090908</v>
      </c>
      <c r="O123" s="367">
        <f>0.1742*100</f>
        <v>17.419999999999998</v>
      </c>
      <c r="P123" s="368">
        <f>0.321486363636364*100</f>
        <v>32.148636363636399</v>
      </c>
      <c r="Q123" s="367">
        <v>1.2039500000000003</v>
      </c>
      <c r="R123" s="361">
        <v>4.0913636363636385</v>
      </c>
    </row>
    <row r="124" spans="1:18" ht="14.5">
      <c r="A124" s="472"/>
      <c r="B124" s="450" t="s">
        <v>115</v>
      </c>
      <c r="C124" s="367">
        <v>1.3482000000000001</v>
      </c>
      <c r="D124" s="368">
        <v>1.8216000000000001</v>
      </c>
      <c r="E124" s="367">
        <v>1.0206999999999999</v>
      </c>
      <c r="F124" s="368">
        <v>1.6046</v>
      </c>
      <c r="G124" s="367">
        <v>17.27</v>
      </c>
      <c r="H124" s="368">
        <f>0.3298*100</f>
        <v>32.979999999999997</v>
      </c>
      <c r="I124" s="367">
        <v>1.1981999999999999</v>
      </c>
      <c r="J124" s="368">
        <v>4.1300000000000008</v>
      </c>
      <c r="K124" s="367">
        <v>1.3554045454545456</v>
      </c>
      <c r="L124" s="368">
        <v>1.79295909090909</v>
      </c>
      <c r="M124" s="367">
        <v>1.0333363636363637</v>
      </c>
      <c r="N124" s="368">
        <v>1.5918181818181816</v>
      </c>
      <c r="O124" s="367">
        <f>0.173659090909091*100</f>
        <v>17.365909090909103</v>
      </c>
      <c r="P124" s="368">
        <f>0.325359090909091*100</f>
        <v>32.535909090909101</v>
      </c>
      <c r="Q124" s="367">
        <v>1.2014227272727274</v>
      </c>
      <c r="R124" s="361">
        <v>4.1195454545454551</v>
      </c>
    </row>
    <row r="125" spans="1:18" ht="14.5">
      <c r="A125" s="473"/>
      <c r="B125" s="452" t="s">
        <v>116</v>
      </c>
      <c r="C125" s="369">
        <v>1.3372999999999999</v>
      </c>
      <c r="D125" s="370">
        <v>1.8025</v>
      </c>
      <c r="E125" s="369">
        <v>1.0437000000000001</v>
      </c>
      <c r="F125" s="370">
        <v>1.6062000000000001</v>
      </c>
      <c r="G125" s="369">
        <v>17.11</v>
      </c>
      <c r="H125" s="370">
        <f>0.3288*100</f>
        <v>32.879999999999995</v>
      </c>
      <c r="I125" s="369">
        <v>1.1865000000000001</v>
      </c>
      <c r="J125" s="370">
        <v>4.1099999999999994</v>
      </c>
      <c r="K125" s="369">
        <v>1.3459761904761902</v>
      </c>
      <c r="L125" s="370">
        <v>1.8041761904761902</v>
      </c>
      <c r="M125" s="369">
        <v>1.0297619047619047</v>
      </c>
      <c r="N125" s="370">
        <v>1.5932999999999999</v>
      </c>
      <c r="O125" s="369">
        <f>0.172295238095238*100</f>
        <v>17.229523809523801</v>
      </c>
      <c r="P125" s="370">
        <f>0.330076190476191*100</f>
        <v>33.007619047619102</v>
      </c>
      <c r="Q125" s="369">
        <v>1.1919190476190478</v>
      </c>
      <c r="R125" s="364">
        <v>4.123333333333334</v>
      </c>
    </row>
    <row r="126" spans="1:18" ht="14.5">
      <c r="A126" s="471">
        <v>2018</v>
      </c>
      <c r="B126" s="454" t="s">
        <v>105</v>
      </c>
      <c r="C126" s="371">
        <v>1.3121</v>
      </c>
      <c r="D126" s="372">
        <v>1.8613999999999999</v>
      </c>
      <c r="E126" s="371">
        <v>1.0570999999999999</v>
      </c>
      <c r="F126" s="372">
        <v>1.6288</v>
      </c>
      <c r="G126" s="371">
        <v>16.77</v>
      </c>
      <c r="H126" s="372">
        <f>0.3364*100</f>
        <v>33.64</v>
      </c>
      <c r="I126" s="371">
        <v>1.2017</v>
      </c>
      <c r="J126" s="372">
        <v>4.1900000000000004</v>
      </c>
      <c r="K126" s="371">
        <v>1.3221478260869568</v>
      </c>
      <c r="L126" s="372">
        <v>1.8261391304347827</v>
      </c>
      <c r="M126" s="371">
        <v>1.0510434782608695</v>
      </c>
      <c r="N126" s="372">
        <v>1.6119782608695654</v>
      </c>
      <c r="O126" s="371">
        <f>0.169091304347826*100</f>
        <v>16.9091304347826</v>
      </c>
      <c r="P126" s="372">
        <v>33.405217391304298</v>
      </c>
      <c r="Q126" s="371">
        <v>1.1916260869565216</v>
      </c>
      <c r="R126" s="373">
        <v>4.1426086956521733</v>
      </c>
    </row>
    <row r="127" spans="1:18" ht="14.5">
      <c r="A127" s="472"/>
      <c r="B127" s="455" t="s">
        <v>106</v>
      </c>
      <c r="C127" s="367">
        <v>1.3249</v>
      </c>
      <c r="D127" s="368">
        <v>1.8233999999999999</v>
      </c>
      <c r="E127" s="367">
        <v>1.0284</v>
      </c>
      <c r="F127" s="368">
        <v>1.6152</v>
      </c>
      <c r="G127" s="367">
        <v>16.93</v>
      </c>
      <c r="H127" s="368">
        <f>0.3377*100</f>
        <v>33.770000000000003</v>
      </c>
      <c r="I127" s="367">
        <v>1.242</v>
      </c>
      <c r="J127" s="368">
        <v>4.21</v>
      </c>
      <c r="K127" s="367">
        <v>1.3196699999999999</v>
      </c>
      <c r="L127" s="368">
        <v>1.8424300000000002</v>
      </c>
      <c r="M127" s="367">
        <v>1.0382950000000002</v>
      </c>
      <c r="N127" s="368">
        <v>1.6289850000000001</v>
      </c>
      <c r="O127" s="367">
        <f>0.16872*100</f>
        <v>16.872</v>
      </c>
      <c r="P127" s="368">
        <v>33.713999999999999</v>
      </c>
      <c r="Q127" s="367">
        <v>1.2237449999999999</v>
      </c>
      <c r="R127" s="361">
        <v>4.1925000000000008</v>
      </c>
    </row>
    <row r="128" spans="1:18" ht="14.5">
      <c r="A128" s="472"/>
      <c r="B128" s="455" t="s">
        <v>107</v>
      </c>
      <c r="C128" s="367">
        <v>1.3111999999999999</v>
      </c>
      <c r="D128" s="368">
        <v>1.8371999999999999</v>
      </c>
      <c r="E128" s="367">
        <v>1.0073000000000001</v>
      </c>
      <c r="F128" s="368">
        <v>1.6157999999999999</v>
      </c>
      <c r="G128" s="367">
        <v>16.7</v>
      </c>
      <c r="H128" s="368">
        <f>0.3395*100</f>
        <v>33.950000000000003</v>
      </c>
      <c r="I128" s="367">
        <v>1.2341</v>
      </c>
      <c r="J128" s="368">
        <v>4.21</v>
      </c>
      <c r="K128" s="367">
        <v>1.3147772727272728</v>
      </c>
      <c r="L128" s="368">
        <v>1.8376090909090907</v>
      </c>
      <c r="M128" s="367">
        <v>1.0201909090909089</v>
      </c>
      <c r="N128" s="368">
        <v>1.6217272727272729</v>
      </c>
      <c r="O128" s="367">
        <f>0.167663636363636*100</f>
        <v>16.7663636363636</v>
      </c>
      <c r="P128" s="368">
        <v>33.689090909090901</v>
      </c>
      <c r="Q128" s="367">
        <v>1.2394090909090911</v>
      </c>
      <c r="R128" s="361">
        <v>4.205454545454546</v>
      </c>
    </row>
    <row r="129" spans="1:19" ht="14.5">
      <c r="A129" s="472"/>
      <c r="B129" s="455" t="s">
        <v>108</v>
      </c>
      <c r="C129" s="368">
        <v>1.3259000000000001</v>
      </c>
      <c r="D129" s="367">
        <v>1.8247</v>
      </c>
      <c r="E129" s="367">
        <v>0.99829999999999997</v>
      </c>
      <c r="F129" s="367">
        <v>1.6012999999999999</v>
      </c>
      <c r="G129" s="367">
        <f>0.1689*100</f>
        <v>16.89</v>
      </c>
      <c r="H129" s="367">
        <f>0.3381*100</f>
        <v>33.81</v>
      </c>
      <c r="I129" s="367">
        <v>1.2126999999999999</v>
      </c>
      <c r="J129" s="367">
        <v>4.2</v>
      </c>
      <c r="K129" s="367">
        <v>1.3159190476190477</v>
      </c>
      <c r="L129" s="367">
        <v>1.8514761904761905</v>
      </c>
      <c r="M129" s="367">
        <v>1.0107190476190477</v>
      </c>
      <c r="N129" s="367">
        <v>1.6150095238095237</v>
      </c>
      <c r="O129" s="367">
        <f>0.167695238095238*100</f>
        <v>16.7695238095238</v>
      </c>
      <c r="P129" s="367">
        <f>0.338366666666667*100</f>
        <v>33.836666666666702</v>
      </c>
      <c r="Q129" s="367">
        <v>1.2227142857142861</v>
      </c>
      <c r="R129" s="361">
        <v>4.2023809523809543</v>
      </c>
    </row>
    <row r="130" spans="1:19" ht="14.5">
      <c r="A130" s="472"/>
      <c r="B130" s="455" t="s">
        <v>109</v>
      </c>
      <c r="C130" s="368">
        <v>1.3376999999999999</v>
      </c>
      <c r="D130" s="367">
        <v>1.7785</v>
      </c>
      <c r="E130" s="367">
        <v>1.0124</v>
      </c>
      <c r="F130" s="367">
        <v>1.5641</v>
      </c>
      <c r="G130" s="367">
        <f>0.1705*100</f>
        <v>17.05</v>
      </c>
      <c r="H130" s="367">
        <f>0.336*100</f>
        <v>33.6</v>
      </c>
      <c r="I130" s="367">
        <v>1.2294</v>
      </c>
      <c r="J130" s="367">
        <v>4.17</v>
      </c>
      <c r="K130" s="367">
        <v>1.3393826086956522</v>
      </c>
      <c r="L130" s="367">
        <v>1.8025869565217392</v>
      </c>
      <c r="M130" s="367">
        <v>1.0080090909090911</v>
      </c>
      <c r="N130" s="367">
        <v>1.5820565217391305</v>
      </c>
      <c r="O130" s="367">
        <f>0.170659090909091*100</f>
        <v>17.065909090909102</v>
      </c>
      <c r="P130" s="367">
        <v>33.68347826086957</v>
      </c>
      <c r="Q130" s="367">
        <v>1.2204772727272728</v>
      </c>
      <c r="R130" s="361">
        <v>4.1904545454545454</v>
      </c>
    </row>
    <row r="131" spans="1:19" ht="14.5">
      <c r="A131" s="472"/>
      <c r="B131" s="455" t="s">
        <v>110</v>
      </c>
      <c r="C131" s="368">
        <v>1.3627</v>
      </c>
      <c r="D131" s="367">
        <v>1.8</v>
      </c>
      <c r="E131" s="367">
        <v>1.0095000000000001</v>
      </c>
      <c r="F131" s="367">
        <v>1.5936999999999999</v>
      </c>
      <c r="G131" s="367">
        <f>0.1738*100</f>
        <v>17.380000000000003</v>
      </c>
      <c r="H131" s="367">
        <f>0.338*100</f>
        <v>33.800000000000004</v>
      </c>
      <c r="I131" s="367">
        <v>1.2309000000000001</v>
      </c>
      <c r="J131" s="367">
        <v>4.1300000000000008</v>
      </c>
      <c r="K131" s="367">
        <v>1.3486761904761904</v>
      </c>
      <c r="L131" s="367">
        <v>1.7913857142857144</v>
      </c>
      <c r="M131" s="367">
        <v>1.0100333333333333</v>
      </c>
      <c r="N131" s="367">
        <v>1.5742999999999998</v>
      </c>
      <c r="O131" s="367">
        <f>0.171885714285714*100</f>
        <v>17.1885714285714</v>
      </c>
      <c r="P131" s="367">
        <f>0.337257142857143*100</f>
        <v>33.725714285714297</v>
      </c>
      <c r="Q131" s="367">
        <v>1.2245238095238093</v>
      </c>
      <c r="R131" s="361">
        <v>4.1528571428571439</v>
      </c>
    </row>
    <row r="132" spans="1:19" ht="14.5">
      <c r="A132" s="472"/>
      <c r="B132" s="455" t="s">
        <v>117</v>
      </c>
      <c r="C132" s="367">
        <v>1.3614999999999999</v>
      </c>
      <c r="D132" s="367">
        <v>1.7867999999999999</v>
      </c>
      <c r="E132" s="367">
        <v>1.0105999999999999</v>
      </c>
      <c r="F132" s="367">
        <v>1.5916999999999999</v>
      </c>
      <c r="G132" s="367">
        <v>17.349999999999998</v>
      </c>
      <c r="H132" s="367">
        <v>33.660000000000004</v>
      </c>
      <c r="I132" s="367">
        <v>1.2171000000000001</v>
      </c>
      <c r="J132" s="367">
        <v>4.1000000000000005</v>
      </c>
      <c r="K132" s="367">
        <v>1.363040909090909</v>
      </c>
      <c r="L132" s="367">
        <v>1.7951772727272728</v>
      </c>
      <c r="M132" s="367">
        <v>1.0092863636363634</v>
      </c>
      <c r="N132" s="367">
        <v>1.5930227272727278</v>
      </c>
      <c r="O132" s="367">
        <v>17.369090909090907</v>
      </c>
      <c r="P132" s="367">
        <v>33.663181818181819</v>
      </c>
      <c r="Q132" s="367">
        <v>1.2229000000000001</v>
      </c>
      <c r="R132" s="367">
        <v>4.0977272727272736</v>
      </c>
      <c r="S132" s="563"/>
    </row>
    <row r="133" spans="1:19" ht="14.5">
      <c r="A133" s="472"/>
      <c r="B133" s="455" t="s">
        <v>112</v>
      </c>
      <c r="C133" s="367">
        <v>1.3722000000000001</v>
      </c>
      <c r="D133" s="367">
        <v>1.7784</v>
      </c>
      <c r="E133" s="367">
        <v>0.98660000000000003</v>
      </c>
      <c r="F133" s="367">
        <v>1.5919000000000001</v>
      </c>
      <c r="G133" s="367">
        <v>17.489999999999998</v>
      </c>
      <c r="H133" s="367">
        <v>33.33</v>
      </c>
      <c r="I133" s="367">
        <v>1.2296</v>
      </c>
      <c r="J133" s="367">
        <v>4.21</v>
      </c>
      <c r="K133" s="367">
        <v>1.3688913043478259</v>
      </c>
      <c r="L133" s="367">
        <v>1.7626347826086959</v>
      </c>
      <c r="M133" s="367">
        <v>1.002765217391304</v>
      </c>
      <c r="N133" s="367">
        <v>1.5807478260869561</v>
      </c>
      <c r="O133" s="367">
        <v>17.439999999999998</v>
      </c>
      <c r="P133" s="367">
        <v>33.43</v>
      </c>
      <c r="Q133" s="367">
        <v>1.2326913043478263</v>
      </c>
      <c r="R133" s="367">
        <v>4.1469565217391313</v>
      </c>
    </row>
    <row r="134" spans="1:19" ht="14.5">
      <c r="A134" s="472"/>
      <c r="B134" s="455" t="s">
        <v>113</v>
      </c>
      <c r="C134" s="367">
        <v>1.3673</v>
      </c>
      <c r="D134" s="367">
        <v>1.7817000000000001</v>
      </c>
      <c r="E134" s="367">
        <v>0.9879</v>
      </c>
      <c r="F134" s="367">
        <v>1.5871999999999999</v>
      </c>
      <c r="G134" s="367">
        <v>17.47</v>
      </c>
      <c r="H134" s="367">
        <v>33</v>
      </c>
      <c r="I134" s="367">
        <v>1.2014</v>
      </c>
      <c r="J134" s="367">
        <v>4.2299999999999995</v>
      </c>
      <c r="K134" s="367">
        <v>1.3710450000000001</v>
      </c>
      <c r="L134" s="367">
        <v>1.7901499999999999</v>
      </c>
      <c r="M134" s="367">
        <v>0.98765000000000014</v>
      </c>
      <c r="N134" s="367">
        <v>1.5986400000000003</v>
      </c>
      <c r="O134" s="367">
        <v>17.491499999999998</v>
      </c>
      <c r="P134" s="367">
        <v>33.111999999999995</v>
      </c>
      <c r="Q134" s="367">
        <v>1.2236549999999999</v>
      </c>
      <c r="R134" s="367">
        <v>4.2065000000000019</v>
      </c>
      <c r="S134" s="563"/>
    </row>
    <row r="135" spans="1:19" ht="14.5">
      <c r="A135" s="472"/>
      <c r="B135" s="455" t="s">
        <v>114</v>
      </c>
      <c r="C135" s="367">
        <v>1.3856999999999999</v>
      </c>
      <c r="D135" s="367">
        <v>1.7690999999999999</v>
      </c>
      <c r="E135" s="367">
        <v>0.98009999999999997</v>
      </c>
      <c r="F135" s="367">
        <v>1.5674999999999999</v>
      </c>
      <c r="G135" s="367">
        <v>17.669999999999998</v>
      </c>
      <c r="H135" s="367">
        <v>33.11</v>
      </c>
      <c r="I135" s="367">
        <v>1.2267999999999999</v>
      </c>
      <c r="J135" s="367">
        <v>4.18</v>
      </c>
      <c r="K135" s="367">
        <v>1.3798608695652175</v>
      </c>
      <c r="L135" s="367">
        <v>1.7950434782608695</v>
      </c>
      <c r="M135" s="367">
        <v>0.97996956521739098</v>
      </c>
      <c r="N135" s="367">
        <v>1.5840913043478257</v>
      </c>
      <c r="O135" s="367">
        <v>17.605652173913043</v>
      </c>
      <c r="P135" s="367">
        <v>33.176956521739129</v>
      </c>
      <c r="Q135" s="367">
        <v>1.2234043478260868</v>
      </c>
      <c r="R135" s="367">
        <v>4.2073913043478264</v>
      </c>
    </row>
    <row r="136" spans="1:19" ht="14.5">
      <c r="A136" s="472"/>
      <c r="B136" s="455" t="s">
        <v>115</v>
      </c>
      <c r="C136" s="367">
        <v>1.3715999999999999</v>
      </c>
      <c r="D136" s="367">
        <v>1.7479</v>
      </c>
      <c r="E136" s="367">
        <v>1.0024</v>
      </c>
      <c r="F136" s="367">
        <v>1.5528</v>
      </c>
      <c r="G136" s="367">
        <v>17.53</v>
      </c>
      <c r="H136" s="367">
        <v>32.82</v>
      </c>
      <c r="I136" s="367">
        <v>1.2091000000000001</v>
      </c>
      <c r="J136" s="367">
        <v>4.16</v>
      </c>
      <c r="K136" s="367">
        <v>1.3751181818181821</v>
      </c>
      <c r="L136" s="367">
        <v>1.7735954545454542</v>
      </c>
      <c r="M136" s="367">
        <v>0.9968318181818181</v>
      </c>
      <c r="N136" s="367">
        <v>1.5625227272727273</v>
      </c>
      <c r="O136" s="367">
        <v>17.564999999999998</v>
      </c>
      <c r="P136" s="367">
        <v>32.874545454545455</v>
      </c>
      <c r="Q136" s="367">
        <v>1.2130727272727275</v>
      </c>
      <c r="R136" s="367">
        <v>4.1722727272727251</v>
      </c>
    </row>
    <row r="137" spans="1:19" ht="14.5">
      <c r="A137" s="473"/>
      <c r="B137" s="456" t="s">
        <v>116</v>
      </c>
      <c r="C137" s="369">
        <v>1.3629</v>
      </c>
      <c r="D137" s="369">
        <v>1.7387999999999999</v>
      </c>
      <c r="E137" s="369">
        <v>0.96109999999999995</v>
      </c>
      <c r="F137" s="369">
        <v>1.5629999999999999</v>
      </c>
      <c r="G137" s="369">
        <v>17.399999999999999</v>
      </c>
      <c r="H137" s="369">
        <v>32.97</v>
      </c>
      <c r="I137" s="369">
        <v>1.2436</v>
      </c>
      <c r="J137" s="369">
        <v>4.22</v>
      </c>
      <c r="K137" s="369">
        <v>1.370695238095238</v>
      </c>
      <c r="L137" s="369">
        <v>1.7354095238095233</v>
      </c>
      <c r="M137" s="369">
        <v>0.98114761904761916</v>
      </c>
      <c r="N137" s="369">
        <v>1.5594476190476192</v>
      </c>
      <c r="O137" s="369">
        <v>17.526666666666667</v>
      </c>
      <c r="P137" s="369">
        <v>32.855714285714285</v>
      </c>
      <c r="Q137" s="369">
        <v>1.2223095238095236</v>
      </c>
      <c r="R137" s="369">
        <v>4.1914285714285704</v>
      </c>
    </row>
    <row r="138" spans="1:19" ht="14.5">
      <c r="A138" s="471">
        <v>2019</v>
      </c>
      <c r="B138" s="454" t="s">
        <v>105</v>
      </c>
      <c r="C138" s="371">
        <v>1.3455999999999999</v>
      </c>
      <c r="D138" s="371">
        <v>1.7644</v>
      </c>
      <c r="E138" s="371">
        <v>0.97909999999999997</v>
      </c>
      <c r="F138" s="371">
        <v>1.5403</v>
      </c>
      <c r="G138" s="371">
        <v>17.150000000000002</v>
      </c>
      <c r="H138" s="371">
        <v>32.85</v>
      </c>
      <c r="I138" s="371">
        <v>1.2363999999999999</v>
      </c>
      <c r="J138" s="371">
        <v>4.3099999999999996</v>
      </c>
      <c r="K138" s="371">
        <v>1.3560090909090912</v>
      </c>
      <c r="L138" s="371">
        <v>1.7501227272727276</v>
      </c>
      <c r="M138" s="371">
        <v>0.9702590909090909</v>
      </c>
      <c r="N138" s="371">
        <v>1.5483045454545454</v>
      </c>
      <c r="O138" s="371">
        <v>17.292272727272724</v>
      </c>
      <c r="P138" s="371">
        <v>32.9509090909091</v>
      </c>
      <c r="Q138" s="371">
        <v>1.2445954545454545</v>
      </c>
      <c r="R138" s="371">
        <v>4.2654545454545501</v>
      </c>
    </row>
    <row r="139" spans="1:19" ht="14.5">
      <c r="A139" s="472"/>
      <c r="B139" s="455" t="s">
        <v>106</v>
      </c>
      <c r="C139" s="367">
        <v>1.3522000000000001</v>
      </c>
      <c r="D139" s="367">
        <v>1.7930999999999999</v>
      </c>
      <c r="E139" s="367">
        <v>0.95909999999999995</v>
      </c>
      <c r="F139" s="367">
        <v>1.5374000000000001</v>
      </c>
      <c r="G139" s="367">
        <v>17.22</v>
      </c>
      <c r="H139" s="367">
        <v>33.26</v>
      </c>
      <c r="I139" s="367">
        <v>1.2138</v>
      </c>
      <c r="J139" s="367">
        <v>4.2799999999999994</v>
      </c>
      <c r="K139" s="367">
        <v>1.3538700000000001</v>
      </c>
      <c r="L139" s="367">
        <v>1.76173</v>
      </c>
      <c r="M139" s="367">
        <v>0.96651000000000009</v>
      </c>
      <c r="N139" s="367">
        <v>1.5364950000000002</v>
      </c>
      <c r="O139" s="367">
        <v>17.2515</v>
      </c>
      <c r="P139" s="367">
        <v>33.218500000000006</v>
      </c>
      <c r="Q139" s="367">
        <v>1.225705</v>
      </c>
      <c r="R139" s="367">
        <v>4.3235000000000001</v>
      </c>
    </row>
    <row r="140" spans="1:19" ht="14.5">
      <c r="A140" s="472"/>
      <c r="B140" s="455" t="s">
        <v>107</v>
      </c>
      <c r="C140" s="367">
        <v>1.3556999999999999</v>
      </c>
      <c r="D140" s="367">
        <v>1.7668999999999999</v>
      </c>
      <c r="E140" s="367">
        <v>0.96209999999999996</v>
      </c>
      <c r="F140" s="367">
        <v>1.5206999999999999</v>
      </c>
      <c r="G140" s="367">
        <v>17.28</v>
      </c>
      <c r="H140" s="367">
        <v>33.21</v>
      </c>
      <c r="I140" s="367">
        <v>1.2233000000000001</v>
      </c>
      <c r="J140" s="367">
        <v>4.2700000000000005</v>
      </c>
      <c r="K140" s="367">
        <v>1.3542571428571428</v>
      </c>
      <c r="L140" s="367">
        <v>1.7837761904761902</v>
      </c>
      <c r="M140" s="367">
        <v>0.95923809523809511</v>
      </c>
      <c r="N140" s="367">
        <v>1.5300761904761904</v>
      </c>
      <c r="O140" s="367">
        <v>17.253809523809519</v>
      </c>
      <c r="P140" s="367">
        <v>33.203809523809518</v>
      </c>
      <c r="Q140" s="367">
        <v>1.2185523809523808</v>
      </c>
      <c r="R140" s="367">
        <v>4.2671428571428605</v>
      </c>
    </row>
    <row r="141" spans="1:19" ht="14.5">
      <c r="A141" s="472"/>
      <c r="B141" s="455" t="s">
        <v>108</v>
      </c>
      <c r="C141" s="367">
        <v>1.3609</v>
      </c>
      <c r="D141" s="367">
        <v>1.7738</v>
      </c>
      <c r="E141" s="367">
        <v>0.95889999999999997</v>
      </c>
      <c r="F141" s="367">
        <v>1.5263</v>
      </c>
      <c r="G141" s="367">
        <v>17.34</v>
      </c>
      <c r="H141" s="367">
        <v>32.879999999999995</v>
      </c>
      <c r="I141" s="367">
        <v>1.2206999999999999</v>
      </c>
      <c r="J141" s="367">
        <v>4.2700000000000005</v>
      </c>
      <c r="K141" s="367">
        <v>1.356077272727273</v>
      </c>
      <c r="L141" s="367">
        <v>1.7668181818181821</v>
      </c>
      <c r="M141" s="367">
        <v>0.96451818181818183</v>
      </c>
      <c r="N141" s="367">
        <v>1.5233409090909091</v>
      </c>
      <c r="O141" s="367">
        <v>17.288181818181815</v>
      </c>
      <c r="P141" s="367">
        <v>32.936818181818182</v>
      </c>
      <c r="Q141" s="367">
        <v>1.2142272727272727</v>
      </c>
      <c r="R141" s="367">
        <v>4.257727272727271</v>
      </c>
    </row>
    <row r="142" spans="1:19" ht="14.5">
      <c r="A142" s="472"/>
      <c r="B142" s="455" t="s">
        <v>109</v>
      </c>
      <c r="C142" s="367">
        <v>1.3740000000000001</v>
      </c>
      <c r="D142" s="367">
        <v>1.7369000000000001</v>
      </c>
      <c r="E142" s="367">
        <v>0.95289999999999997</v>
      </c>
      <c r="F142" s="367">
        <v>1.5353000000000001</v>
      </c>
      <c r="G142" s="367">
        <v>17.54</v>
      </c>
      <c r="H142" s="367">
        <v>32.85</v>
      </c>
      <c r="I142" s="367">
        <v>1.2683</v>
      </c>
      <c r="J142" s="367">
        <v>4.3600000000000003</v>
      </c>
      <c r="K142" s="367">
        <v>1.3711478260869563</v>
      </c>
      <c r="L142" s="367">
        <v>1.7605913043478261</v>
      </c>
      <c r="M142" s="367">
        <v>0.95190869565217395</v>
      </c>
      <c r="N142" s="367">
        <v>1.533373913043478</v>
      </c>
      <c r="O142" s="367">
        <v>17.470869565217392</v>
      </c>
      <c r="P142" s="367">
        <v>32.889130434782615</v>
      </c>
      <c r="Q142" s="367">
        <v>1.2466652173913044</v>
      </c>
      <c r="R142" s="367">
        <v>4.3121739130434777</v>
      </c>
    </row>
    <row r="143" spans="1:19" ht="14.5">
      <c r="A143" s="472"/>
      <c r="B143" s="455" t="s">
        <v>110</v>
      </c>
      <c r="C143" s="367">
        <v>1.3531</v>
      </c>
      <c r="D143" s="367">
        <v>1.7178</v>
      </c>
      <c r="E143" s="367">
        <v>0.95009999999999994</v>
      </c>
      <c r="F143" s="367">
        <v>1.5383</v>
      </c>
      <c r="G143" s="367">
        <v>17.32</v>
      </c>
      <c r="H143" s="367">
        <v>32.74</v>
      </c>
      <c r="I143" s="367">
        <v>1.2541</v>
      </c>
      <c r="J143" s="367">
        <v>4.41</v>
      </c>
      <c r="K143" s="367">
        <v>1.3621000000000003</v>
      </c>
      <c r="L143" s="367">
        <v>1.7265599999999999</v>
      </c>
      <c r="M143" s="367">
        <v>0.94628000000000012</v>
      </c>
      <c r="N143" s="367">
        <v>1.5385550000000001</v>
      </c>
      <c r="O143" s="367">
        <v>17.403000000000002</v>
      </c>
      <c r="P143" s="367">
        <v>32.774999999999999</v>
      </c>
      <c r="Q143" s="367">
        <v>1.2605600000000003</v>
      </c>
      <c r="R143" s="367">
        <v>4.3794999999999984</v>
      </c>
    </row>
    <row r="144" spans="1:19" ht="14.5">
      <c r="A144" s="472"/>
      <c r="B144" s="455" t="s">
        <v>117</v>
      </c>
      <c r="C144" s="367">
        <v>1.3744000000000001</v>
      </c>
      <c r="D144" s="367">
        <v>1.6712</v>
      </c>
      <c r="E144" s="367">
        <v>0.94079999999999997</v>
      </c>
      <c r="F144" s="367">
        <v>1.522</v>
      </c>
      <c r="G144" s="367">
        <v>17.560000000000002</v>
      </c>
      <c r="H144" s="367">
        <v>33.35</v>
      </c>
      <c r="I144" s="367">
        <v>1.2635000000000001</v>
      </c>
      <c r="J144" s="367">
        <v>4.45</v>
      </c>
      <c r="K144" s="367">
        <v>1.3614739130434785</v>
      </c>
      <c r="L144" s="367">
        <v>1.6970565217391305</v>
      </c>
      <c r="M144" s="367">
        <v>0.95012608695652179</v>
      </c>
      <c r="N144" s="367">
        <v>1.5265826086956522</v>
      </c>
      <c r="O144" s="367">
        <v>17.425652173913043</v>
      </c>
      <c r="P144" s="367">
        <v>33.025217391304338</v>
      </c>
      <c r="Q144" s="367">
        <v>1.257669565217391</v>
      </c>
      <c r="R144" s="367">
        <v>4.4178260869565227</v>
      </c>
    </row>
    <row r="145" spans="1:18" ht="14.5">
      <c r="A145" s="472"/>
      <c r="B145" s="455" t="s">
        <v>112</v>
      </c>
      <c r="C145" s="367">
        <v>1.3873</v>
      </c>
      <c r="D145" s="367">
        <v>1.6873</v>
      </c>
      <c r="E145" s="367">
        <v>0.93440000000000001</v>
      </c>
      <c r="F145" s="367">
        <v>1.5229999999999999</v>
      </c>
      <c r="G145" s="367">
        <v>17.690000000000001</v>
      </c>
      <c r="H145" s="367">
        <v>32.99</v>
      </c>
      <c r="I145" s="367">
        <v>1.3062</v>
      </c>
      <c r="J145" s="367">
        <v>4.53</v>
      </c>
      <c r="K145" s="367">
        <v>1.3850818181818185</v>
      </c>
      <c r="L145" s="367">
        <v>1.6830954545454546</v>
      </c>
      <c r="M145" s="367">
        <v>0.93733636363636375</v>
      </c>
      <c r="N145" s="367">
        <v>1.5404545454545455</v>
      </c>
      <c r="O145" s="367">
        <v>17.664545454545454</v>
      </c>
      <c r="P145" s="367">
        <v>33.062727272727265</v>
      </c>
      <c r="Q145" s="367">
        <v>1.3041136363636363</v>
      </c>
      <c r="R145" s="367">
        <v>4.5036363636363648</v>
      </c>
    </row>
    <row r="146" spans="1:18" ht="14.5">
      <c r="A146" s="472"/>
      <c r="B146" s="455" t="s">
        <v>113</v>
      </c>
      <c r="C146" s="368">
        <v>1.3819999999999999</v>
      </c>
      <c r="D146" s="367">
        <v>1.6991000000000001</v>
      </c>
      <c r="E146" s="367">
        <v>0.93269999999999997</v>
      </c>
      <c r="F146" s="367">
        <v>1.5061</v>
      </c>
      <c r="G146" s="367">
        <v>17.630000000000003</v>
      </c>
      <c r="H146" s="367">
        <v>33</v>
      </c>
      <c r="I146" s="367">
        <v>1.2786999999999999</v>
      </c>
      <c r="J146" s="367">
        <v>4.5199999999999996</v>
      </c>
      <c r="K146" s="367">
        <v>1.3797857142857142</v>
      </c>
      <c r="L146" s="367">
        <v>1.7052428571428571</v>
      </c>
      <c r="M146" s="367">
        <v>0.93950952380952368</v>
      </c>
      <c r="N146" s="367">
        <v>1.518747619047619</v>
      </c>
      <c r="O146" s="367">
        <v>17.611428571428576</v>
      </c>
      <c r="P146" s="367">
        <v>32.978095238095243</v>
      </c>
      <c r="Q146" s="367">
        <v>1.2835285714285716</v>
      </c>
      <c r="R146" s="367">
        <v>4.5119047619047628</v>
      </c>
    </row>
    <row r="147" spans="1:18" ht="14.5">
      <c r="A147" s="472"/>
      <c r="B147" s="455" t="s">
        <v>114</v>
      </c>
      <c r="C147" s="368">
        <v>1.3603000000000001</v>
      </c>
      <c r="D147" s="367">
        <v>1.7604</v>
      </c>
      <c r="E147" s="367">
        <v>0.93789999999999996</v>
      </c>
      <c r="F147" s="367">
        <v>1.5162</v>
      </c>
      <c r="G147" s="367">
        <v>17.36</v>
      </c>
      <c r="H147" s="367">
        <v>32.550000000000004</v>
      </c>
      <c r="I147" s="367">
        <v>1.2593000000000001</v>
      </c>
      <c r="J147" s="367">
        <v>4.51</v>
      </c>
      <c r="K147" s="367">
        <v>1.3704260869565217</v>
      </c>
      <c r="L147" s="367">
        <v>1.734495652173913</v>
      </c>
      <c r="M147" s="367">
        <v>0.93152173913043468</v>
      </c>
      <c r="N147" s="367">
        <v>1.5151565217391303</v>
      </c>
      <c r="O147" s="367">
        <v>17.476521739130433</v>
      </c>
      <c r="P147" s="367">
        <v>32.723913043478262</v>
      </c>
      <c r="Q147" s="367">
        <v>1.2670130434782609</v>
      </c>
      <c r="R147" s="367">
        <v>4.5139130434782615</v>
      </c>
    </row>
    <row r="148" spans="1:18" ht="14.5">
      <c r="A148" s="472"/>
      <c r="B148" s="455" t="s">
        <v>115</v>
      </c>
      <c r="C148" s="367">
        <v>1.3676999999999999</v>
      </c>
      <c r="D148" s="367">
        <v>1.7657</v>
      </c>
      <c r="E148" s="367">
        <v>0.92510000000000003</v>
      </c>
      <c r="F148" s="367">
        <v>1.5068999999999999</v>
      </c>
      <c r="G148" s="367">
        <v>17.47</v>
      </c>
      <c r="H148" s="367">
        <v>32.74</v>
      </c>
      <c r="I148" s="367">
        <v>1.2490000000000001</v>
      </c>
      <c r="J148" s="367">
        <v>4.5199999999999996</v>
      </c>
      <c r="K148" s="367">
        <v>1.3616904761904762</v>
      </c>
      <c r="L148" s="367">
        <v>1.7544523809523809</v>
      </c>
      <c r="M148" s="367">
        <v>0.92954285714285712</v>
      </c>
      <c r="N148" s="367">
        <v>1.504361904761905</v>
      </c>
      <c r="O148" s="367">
        <v>17.395714285714284</v>
      </c>
      <c r="P148" s="367">
        <v>32.762857142857136</v>
      </c>
      <c r="Q148" s="367">
        <v>1.2504761904761903</v>
      </c>
      <c r="R148" s="367">
        <v>4.5023809523809533</v>
      </c>
    </row>
    <row r="149" spans="1:18" ht="14.5">
      <c r="A149" s="473"/>
      <c r="B149" s="456" t="s">
        <v>116</v>
      </c>
      <c r="C149" s="369">
        <v>1.3456999999999999</v>
      </c>
      <c r="D149" s="369">
        <v>1.7826</v>
      </c>
      <c r="E149" s="369">
        <v>0.94420000000000004</v>
      </c>
      <c r="F149" s="369">
        <v>1.5102</v>
      </c>
      <c r="G149" s="369">
        <v>17.27</v>
      </c>
      <c r="H149" s="369">
        <v>32.89</v>
      </c>
      <c r="I149" s="369">
        <v>1.2386999999999999</v>
      </c>
      <c r="J149" s="369">
        <v>4.53</v>
      </c>
      <c r="K149" s="369">
        <v>1.355947619047619</v>
      </c>
      <c r="L149" s="369">
        <v>1.7769714285714286</v>
      </c>
      <c r="M149" s="369">
        <v>0.93453809523809517</v>
      </c>
      <c r="N149" s="369">
        <v>1.5074428571428573</v>
      </c>
      <c r="O149" s="369">
        <v>17.377142857142854</v>
      </c>
      <c r="P149" s="369">
        <v>32.71380952380953</v>
      </c>
      <c r="Q149" s="369">
        <v>1.2426333333333335</v>
      </c>
      <c r="R149" s="369">
        <v>4.4899999999999993</v>
      </c>
    </row>
    <row r="150" spans="1:18" ht="15.75" customHeight="1">
      <c r="A150" s="471">
        <v>2020</v>
      </c>
      <c r="B150" s="454" t="s">
        <v>105</v>
      </c>
      <c r="C150" s="372">
        <v>1.3648</v>
      </c>
      <c r="D150" s="371">
        <v>1.8018000000000001</v>
      </c>
      <c r="E150" s="371">
        <v>0.91279999999999994</v>
      </c>
      <c r="F150" s="371">
        <v>1.5136000000000001</v>
      </c>
      <c r="G150" s="371">
        <v>17.57</v>
      </c>
      <c r="H150" s="371">
        <v>33.300000000000004</v>
      </c>
      <c r="I150" s="371">
        <v>1.2592000000000001</v>
      </c>
      <c r="J150" s="371">
        <v>4.37</v>
      </c>
      <c r="K150" s="371">
        <v>1.3514590909090907</v>
      </c>
      <c r="L150" s="371">
        <v>1.7671590909090908</v>
      </c>
      <c r="M150" s="371">
        <v>0.92622272727272703</v>
      </c>
      <c r="N150" s="371">
        <v>1.5000772727272726</v>
      </c>
      <c r="O150" s="371">
        <v>17.38727272727273</v>
      </c>
      <c r="P150" s="371">
        <v>33.134999999999998</v>
      </c>
      <c r="Q150" s="371">
        <v>1.2364545454545455</v>
      </c>
      <c r="R150" s="371">
        <v>4.4354545454545447</v>
      </c>
    </row>
    <row r="151" spans="1:18" ht="15.75" customHeight="1">
      <c r="A151" s="472"/>
      <c r="B151" s="455" t="s">
        <v>106</v>
      </c>
      <c r="C151" s="368">
        <v>1.3932</v>
      </c>
      <c r="D151" s="367">
        <v>1.7855000000000001</v>
      </c>
      <c r="E151" s="367">
        <v>0.90669999999999995</v>
      </c>
      <c r="F151" s="367">
        <v>1.5354000000000001</v>
      </c>
      <c r="G151" s="367">
        <v>17.88</v>
      </c>
      <c r="H151" s="367">
        <v>33.07</v>
      </c>
      <c r="I151" s="367">
        <v>1.2887999999999999</v>
      </c>
      <c r="J151" s="367">
        <v>4.42</v>
      </c>
      <c r="K151" s="374">
        <v>1.3899299999999999</v>
      </c>
      <c r="L151" s="374">
        <v>1.8003549999999997</v>
      </c>
      <c r="M151" s="375">
        <v>0.92634000000000005</v>
      </c>
      <c r="N151" s="374">
        <v>1.5157050000000001</v>
      </c>
      <c r="O151" s="374">
        <v>17.877000000000002</v>
      </c>
      <c r="P151" s="374">
        <v>33.391999999999996</v>
      </c>
      <c r="Q151" s="374">
        <v>1.263145</v>
      </c>
      <c r="R151" s="374">
        <v>4.4365000000000006</v>
      </c>
    </row>
    <row r="152" spans="1:18" ht="15.75" customHeight="1">
      <c r="A152" s="472"/>
      <c r="B152" s="455" t="s">
        <v>107</v>
      </c>
      <c r="C152" s="368">
        <v>1.4219999999999999</v>
      </c>
      <c r="D152" s="367">
        <v>1.7633000000000001</v>
      </c>
      <c r="E152" s="367">
        <v>0.87270000000000003</v>
      </c>
      <c r="F152" s="367">
        <v>1.5698000000000001</v>
      </c>
      <c r="G152" s="367">
        <v>18.350000000000001</v>
      </c>
      <c r="H152" s="367">
        <v>32.950000000000003</v>
      </c>
      <c r="I152" s="367">
        <v>1.3222</v>
      </c>
      <c r="J152" s="367">
        <v>4.34</v>
      </c>
      <c r="K152" s="367">
        <v>1.4170818181818181</v>
      </c>
      <c r="L152" s="367">
        <v>1.7497454545454545</v>
      </c>
      <c r="M152" s="367">
        <v>0.87978636363636364</v>
      </c>
      <c r="N152" s="367">
        <v>1.5671954545454547</v>
      </c>
      <c r="O152" s="367">
        <v>18.250909090909094</v>
      </c>
      <c r="P152" s="367">
        <v>32.951818181818176</v>
      </c>
      <c r="Q152" s="367">
        <v>1.3156727272727273</v>
      </c>
      <c r="R152" s="367">
        <v>4.4136363636363631</v>
      </c>
    </row>
    <row r="153" spans="1:18" ht="15.75" customHeight="1">
      <c r="A153" s="472"/>
      <c r="B153" s="455" t="s">
        <v>108</v>
      </c>
      <c r="C153" s="368">
        <v>1.4098999999999999</v>
      </c>
      <c r="D153" s="367">
        <v>1.7770999999999999</v>
      </c>
      <c r="E153" s="367">
        <v>0.91890000000000005</v>
      </c>
      <c r="F153" s="367">
        <v>1.5452999999999999</v>
      </c>
      <c r="G153" s="367">
        <v>18.2</v>
      </c>
      <c r="H153" s="367">
        <v>32.83</v>
      </c>
      <c r="I153" s="367">
        <v>1.3163</v>
      </c>
      <c r="J153" s="367">
        <v>4.3499999999999996</v>
      </c>
      <c r="K153" s="367">
        <v>1.4231</v>
      </c>
      <c r="L153" s="367">
        <v>1.7673045454545453</v>
      </c>
      <c r="M153" s="367">
        <v>0.89803636363636341</v>
      </c>
      <c r="N153" s="367">
        <v>1.5472499999999998</v>
      </c>
      <c r="O153" s="367">
        <v>18.362272727272728</v>
      </c>
      <c r="P153" s="367">
        <v>32.708636363636359</v>
      </c>
      <c r="Q153" s="367">
        <v>1.3203363636363634</v>
      </c>
      <c r="R153" s="367">
        <v>4.3604545454545454</v>
      </c>
    </row>
    <row r="154" spans="1:18" ht="15.75" customHeight="1">
      <c r="A154" s="472"/>
      <c r="B154" s="455" t="s">
        <v>109</v>
      </c>
      <c r="C154" s="368">
        <v>1.4135</v>
      </c>
      <c r="D154" s="367">
        <v>1.7455000000000001</v>
      </c>
      <c r="E154" s="367">
        <v>0.94140000000000001</v>
      </c>
      <c r="F154" s="367">
        <v>1.5693999999999999</v>
      </c>
      <c r="G154" s="367">
        <v>18.23</v>
      </c>
      <c r="H154" s="367">
        <v>32.5</v>
      </c>
      <c r="I154" s="367">
        <v>1.3104</v>
      </c>
      <c r="J154" s="367">
        <v>4.4400000000000004</v>
      </c>
      <c r="K154" s="367">
        <v>1.418304761904762</v>
      </c>
      <c r="L154" s="367">
        <v>1.7438047619047623</v>
      </c>
      <c r="M154" s="367">
        <v>0.92452380952380953</v>
      </c>
      <c r="N154" s="367">
        <v>1.5468952380952383</v>
      </c>
      <c r="O154" s="367">
        <v>18.294285714285714</v>
      </c>
      <c r="P154" s="367">
        <v>32.686190476190475</v>
      </c>
      <c r="Q154" s="367">
        <v>1.3227809523809526</v>
      </c>
      <c r="R154" s="367">
        <v>4.4204761904761902</v>
      </c>
    </row>
    <row r="155" spans="1:18" ht="15.75" customHeight="1">
      <c r="A155" s="472"/>
      <c r="B155" s="455" t="s">
        <v>110</v>
      </c>
      <c r="C155" s="368">
        <v>1.3935999999999999</v>
      </c>
      <c r="D155" s="367">
        <v>1.7282</v>
      </c>
      <c r="E155" s="367">
        <v>0.96199999999999997</v>
      </c>
      <c r="F155" s="367">
        <v>1.5653999999999999</v>
      </c>
      <c r="G155" s="367">
        <v>17.98</v>
      </c>
      <c r="H155" s="367">
        <v>32.53</v>
      </c>
      <c r="I155" s="367">
        <v>1.2910999999999999</v>
      </c>
      <c r="J155" s="367">
        <v>4.51</v>
      </c>
      <c r="K155" s="367">
        <v>1.3938090909090908</v>
      </c>
      <c r="L155" s="367">
        <v>1.7459681818181814</v>
      </c>
      <c r="M155" s="367">
        <v>0.96193181818181828</v>
      </c>
      <c r="N155" s="367">
        <v>1.5690999999999997</v>
      </c>
      <c r="O155" s="367">
        <v>17.983636363636364</v>
      </c>
      <c r="P155" s="367">
        <v>32.603181818181817</v>
      </c>
      <c r="Q155" s="367">
        <v>1.295309090909091</v>
      </c>
      <c r="R155" s="367">
        <v>4.4731818181818186</v>
      </c>
    </row>
    <row r="156" spans="1:18" ht="15.75" customHeight="1">
      <c r="A156" s="472"/>
      <c r="B156" s="455" t="s">
        <v>117</v>
      </c>
      <c r="C156" s="367">
        <v>1.3745000000000001</v>
      </c>
      <c r="D156" s="367">
        <v>1.7988</v>
      </c>
      <c r="E156" s="367">
        <v>0.9819</v>
      </c>
      <c r="F156" s="367">
        <v>1.6191</v>
      </c>
      <c r="G156" s="367">
        <v>17.740000000000002</v>
      </c>
      <c r="H156" s="367">
        <v>32.43</v>
      </c>
      <c r="I156" s="367">
        <v>1.2987</v>
      </c>
      <c r="J156" s="367">
        <v>4.3999999999999995</v>
      </c>
      <c r="K156" s="367">
        <v>1.386790909090909</v>
      </c>
      <c r="L156" s="367">
        <v>1.7604499999999996</v>
      </c>
      <c r="M156" s="367">
        <v>0.97631363636363633</v>
      </c>
      <c r="N156" s="367">
        <v>1.5924</v>
      </c>
      <c r="O156" s="367">
        <v>17.891818181818188</v>
      </c>
      <c r="P156" s="367">
        <v>32.534999999999989</v>
      </c>
      <c r="Q156" s="367">
        <v>1.2998181818181818</v>
      </c>
      <c r="R156" s="367">
        <v>4.4131818181818181</v>
      </c>
    </row>
    <row r="157" spans="1:18" ht="15.75" customHeight="1">
      <c r="A157" s="472"/>
      <c r="B157" s="455" t="s">
        <v>112</v>
      </c>
      <c r="C157" s="368">
        <v>1.3603000000000001</v>
      </c>
      <c r="D157" s="367">
        <v>1.8186</v>
      </c>
      <c r="E157" s="367">
        <v>1.0033000000000001</v>
      </c>
      <c r="F157" s="367">
        <v>1.6236999999999999</v>
      </c>
      <c r="G157" s="367">
        <v>17.549999999999997</v>
      </c>
      <c r="H157" s="367">
        <v>32.67</v>
      </c>
      <c r="I157" s="367">
        <v>1.2844</v>
      </c>
      <c r="J157" s="367">
        <v>4.38</v>
      </c>
      <c r="K157" s="367">
        <v>1.3692380952380954</v>
      </c>
      <c r="L157" s="367">
        <v>1.7985809523809526</v>
      </c>
      <c r="M157" s="367">
        <v>0.98601904761904768</v>
      </c>
      <c r="N157" s="367">
        <v>1.6197714285714286</v>
      </c>
      <c r="O157" s="367">
        <v>17.667619047619048</v>
      </c>
      <c r="P157" s="367">
        <v>32.710952380952385</v>
      </c>
      <c r="Q157" s="367">
        <v>1.2911714285714286</v>
      </c>
      <c r="R157" s="367">
        <v>4.3871428571428579</v>
      </c>
    </row>
    <row r="158" spans="1:18" ht="15.75" customHeight="1">
      <c r="A158" s="472"/>
      <c r="B158" s="455" t="s">
        <v>113</v>
      </c>
      <c r="C158" s="367">
        <v>1.3653999999999999</v>
      </c>
      <c r="D158" s="367">
        <v>1.7642</v>
      </c>
      <c r="E158" s="367">
        <v>0.97789999999999999</v>
      </c>
      <c r="F158" s="367">
        <v>1.6003000000000001</v>
      </c>
      <c r="G158" s="367">
        <v>17.62</v>
      </c>
      <c r="H158" s="367">
        <v>32.86</v>
      </c>
      <c r="I158" s="367">
        <v>1.2951999999999999</v>
      </c>
      <c r="J158" s="367">
        <v>4.32</v>
      </c>
      <c r="K158" s="367">
        <v>1.3661818181818179</v>
      </c>
      <c r="L158" s="367">
        <v>1.7699045454545455</v>
      </c>
      <c r="M158" s="367">
        <v>0.987290909090909</v>
      </c>
      <c r="N158" s="367">
        <v>1.6102272727272726</v>
      </c>
      <c r="O158" s="367">
        <v>17.63</v>
      </c>
      <c r="P158" s="367">
        <v>32.933181818181815</v>
      </c>
      <c r="Q158" s="367">
        <v>1.2937681818181819</v>
      </c>
      <c r="R158" s="367">
        <v>4.3549999999999986</v>
      </c>
    </row>
    <row r="159" spans="1:18" ht="15.75" customHeight="1">
      <c r="A159" s="472"/>
      <c r="B159" s="455" t="s">
        <v>114</v>
      </c>
      <c r="C159" s="367">
        <v>1.3664000000000001</v>
      </c>
      <c r="D159" s="367">
        <v>1.7699</v>
      </c>
      <c r="E159" s="367">
        <v>0.96040000000000003</v>
      </c>
      <c r="F159" s="367">
        <v>1.5913999999999999</v>
      </c>
      <c r="G159" s="367">
        <v>17.630000000000003</v>
      </c>
      <c r="H159" s="367">
        <v>32.9</v>
      </c>
      <c r="I159" s="367">
        <v>1.3057000000000001</v>
      </c>
      <c r="J159" s="367">
        <v>4.3900000000000006</v>
      </c>
      <c r="K159" s="367">
        <v>1.3600772727272725</v>
      </c>
      <c r="L159" s="367">
        <v>1.7652045454545457</v>
      </c>
      <c r="M159" s="367">
        <v>0.96880454545454553</v>
      </c>
      <c r="N159" s="367">
        <v>1.600259090909091</v>
      </c>
      <c r="O159" s="367">
        <v>17.547727272727272</v>
      </c>
      <c r="P159" s="367">
        <v>32.75409090909092</v>
      </c>
      <c r="Q159" s="367">
        <v>1.2926227272727273</v>
      </c>
      <c r="R159" s="367">
        <v>4.3531818181818167</v>
      </c>
    </row>
    <row r="160" spans="1:18" ht="15.75" customHeight="1">
      <c r="A160" s="472"/>
      <c r="B160" s="455" t="s">
        <v>115</v>
      </c>
      <c r="C160" s="367">
        <v>1.3416999999999999</v>
      </c>
      <c r="D160" s="367">
        <v>1.7874000000000001</v>
      </c>
      <c r="E160" s="367">
        <v>0.98529999999999995</v>
      </c>
      <c r="F160" s="367">
        <v>1.6003000000000001</v>
      </c>
      <c r="G160" s="367">
        <v>17.309999999999999</v>
      </c>
      <c r="H160" s="367">
        <v>32.93</v>
      </c>
      <c r="I160" s="367">
        <v>1.2862</v>
      </c>
      <c r="J160" s="367">
        <v>4.43</v>
      </c>
      <c r="K160" s="367">
        <v>1.3472000000000002</v>
      </c>
      <c r="L160" s="367">
        <v>1.7804952380952381</v>
      </c>
      <c r="M160" s="367">
        <v>0.9807904761904761</v>
      </c>
      <c r="N160" s="367">
        <v>1.5946999999999998</v>
      </c>
      <c r="O160" s="367">
        <v>17.373333333333335</v>
      </c>
      <c r="P160" s="367">
        <v>32.76</v>
      </c>
      <c r="Q160" s="367">
        <v>1.2899333333333334</v>
      </c>
      <c r="R160" s="367">
        <v>4.4233333333333329</v>
      </c>
    </row>
    <row r="161" spans="1:18" ht="15.75" customHeight="1">
      <c r="A161" s="473"/>
      <c r="B161" s="456" t="s">
        <v>116</v>
      </c>
      <c r="C161" s="364">
        <v>1.3221000000000001</v>
      </c>
      <c r="D161" s="369">
        <v>1.8061</v>
      </c>
      <c r="E161" s="369">
        <v>1.0167999999999999</v>
      </c>
      <c r="F161" s="369">
        <v>1.6146</v>
      </c>
      <c r="G161" s="369">
        <v>17.04</v>
      </c>
      <c r="H161" s="369">
        <v>32.86</v>
      </c>
      <c r="I161" s="369">
        <v>1.2787999999999999</v>
      </c>
      <c r="J161" s="369">
        <v>4.41</v>
      </c>
      <c r="K161" s="369">
        <v>1.3323739130434782</v>
      </c>
      <c r="L161" s="369">
        <v>1.7916304347826084</v>
      </c>
      <c r="M161" s="369">
        <v>1.0040521739130437</v>
      </c>
      <c r="N161" s="369">
        <v>1.6217956521739132</v>
      </c>
      <c r="O161" s="369">
        <v>17.181739130434782</v>
      </c>
      <c r="P161" s="369">
        <v>32.83652173913044</v>
      </c>
      <c r="Q161" s="369">
        <v>1.2838695652173917</v>
      </c>
      <c r="R161" s="369">
        <v>4.4286956521739125</v>
      </c>
    </row>
    <row r="162" spans="1:18" ht="15.75" customHeight="1">
      <c r="A162" s="471">
        <v>2021</v>
      </c>
      <c r="B162" s="454" t="s">
        <v>105</v>
      </c>
      <c r="C162" s="372">
        <v>1.329</v>
      </c>
      <c r="D162" s="371">
        <v>1.8212999999999999</v>
      </c>
      <c r="E162" s="371">
        <v>1.016</v>
      </c>
      <c r="F162" s="371">
        <v>1.6127</v>
      </c>
      <c r="G162" s="371">
        <v>17.14</v>
      </c>
      <c r="H162" s="371">
        <v>32.9</v>
      </c>
      <c r="I162" s="371">
        <v>1.2690999999999999</v>
      </c>
      <c r="J162" s="371">
        <v>4.4400000000000004</v>
      </c>
      <c r="K162" s="371">
        <v>1.3259500000000002</v>
      </c>
      <c r="L162" s="371">
        <v>1.808945</v>
      </c>
      <c r="M162" s="371">
        <v>1.024165</v>
      </c>
      <c r="N162" s="371">
        <v>1.6138550000000003</v>
      </c>
      <c r="O162" s="371">
        <v>17.099999999999998</v>
      </c>
      <c r="P162" s="371">
        <v>32.832499999999989</v>
      </c>
      <c r="Q162" s="371">
        <v>1.2778699999999998</v>
      </c>
      <c r="R162" s="371">
        <v>4.4175000000000022</v>
      </c>
    </row>
    <row r="163" spans="1:18" ht="15.75" customHeight="1">
      <c r="A163" s="472"/>
      <c r="B163" s="455" t="s">
        <v>106</v>
      </c>
      <c r="C163" s="368">
        <v>1.3326</v>
      </c>
      <c r="D163" s="367">
        <v>1.8559000000000001</v>
      </c>
      <c r="E163" s="367">
        <v>1.0268999999999999</v>
      </c>
      <c r="F163" s="367">
        <v>1.6086</v>
      </c>
      <c r="G163" s="367">
        <v>17.18</v>
      </c>
      <c r="H163" s="367">
        <v>32.910000000000004</v>
      </c>
      <c r="I163" s="367">
        <v>1.2506999999999999</v>
      </c>
      <c r="J163" s="367">
        <v>4.37</v>
      </c>
      <c r="K163" s="367">
        <v>1.3277749999999999</v>
      </c>
      <c r="L163" s="367">
        <v>1.8412049999999998</v>
      </c>
      <c r="M163" s="367">
        <v>1.0296049999999999</v>
      </c>
      <c r="N163" s="367">
        <v>1.6058650000000003</v>
      </c>
      <c r="O163" s="367">
        <v>17.125499999999999</v>
      </c>
      <c r="P163" s="367">
        <v>32.811</v>
      </c>
      <c r="Q163" s="367">
        <v>1.26017</v>
      </c>
      <c r="R163" s="367">
        <v>4.4230000000000009</v>
      </c>
    </row>
    <row r="164" spans="1:18" ht="15.75" customHeight="1">
      <c r="A164" s="472"/>
      <c r="B164" s="455" t="s">
        <v>107</v>
      </c>
      <c r="C164" s="368">
        <v>1.3448</v>
      </c>
      <c r="D164" s="367">
        <v>1.8537999999999999</v>
      </c>
      <c r="E164" s="367">
        <v>1.0221</v>
      </c>
      <c r="F164" s="367">
        <v>1.5774999999999999</v>
      </c>
      <c r="G164" s="367">
        <v>17.309999999999999</v>
      </c>
      <c r="H164" s="367">
        <v>32.450000000000003</v>
      </c>
      <c r="I164" s="367">
        <v>1.2151000000000001</v>
      </c>
      <c r="J164" s="367">
        <v>4.3099999999999996</v>
      </c>
      <c r="K164" s="367">
        <v>1.3424739130434782</v>
      </c>
      <c r="L164" s="367">
        <v>1.8619894736842102</v>
      </c>
      <c r="M164" s="367">
        <v>1.0362315789473684</v>
      </c>
      <c r="N164" s="367">
        <v>1.6005210526315787</v>
      </c>
      <c r="O164" s="367">
        <v>17.281052631578948</v>
      </c>
      <c r="P164" s="367">
        <v>32.701578947368425</v>
      </c>
      <c r="Q164" s="367">
        <v>1.237194736842105</v>
      </c>
      <c r="R164" s="367">
        <v>4.3715789473684215</v>
      </c>
    </row>
    <row r="165" spans="1:18" ht="15.75" customHeight="1">
      <c r="A165" s="472"/>
      <c r="B165" s="455" t="s">
        <v>108</v>
      </c>
      <c r="C165" s="368">
        <v>1.3308</v>
      </c>
      <c r="D165" s="367">
        <v>1.8381000000000001</v>
      </c>
      <c r="E165" s="367">
        <v>1.0264</v>
      </c>
      <c r="F165" s="367">
        <v>1.5993999999999999</v>
      </c>
      <c r="G165" s="367">
        <v>17.130000000000003</v>
      </c>
      <c r="H165" s="367">
        <v>32.49</v>
      </c>
      <c r="I165" s="367">
        <v>1.2171000000000001</v>
      </c>
      <c r="J165" s="367">
        <v>4.2700000000000005</v>
      </c>
      <c r="K165" s="367">
        <v>1.3346681818181816</v>
      </c>
      <c r="L165" s="367">
        <v>1.847409090909091</v>
      </c>
      <c r="M165" s="367">
        <v>1.027790909090909</v>
      </c>
      <c r="N165" s="367">
        <v>1.5976318181818181</v>
      </c>
      <c r="O165" s="367">
        <v>17.176818181818181</v>
      </c>
      <c r="P165" s="367">
        <v>32.37952380952381</v>
      </c>
      <c r="Q165" s="367">
        <v>1.2239727272727274</v>
      </c>
      <c r="R165" s="367">
        <v>4.2609090909090899</v>
      </c>
    </row>
    <row r="166" spans="1:18" ht="15.75" customHeight="1">
      <c r="A166" s="472"/>
      <c r="B166" s="455" t="s">
        <v>109</v>
      </c>
      <c r="C166" s="394">
        <v>1.3217000000000001</v>
      </c>
      <c r="D166" s="367">
        <v>1.8777999999999999</v>
      </c>
      <c r="E166" s="395">
        <v>1.0218</v>
      </c>
      <c r="F166" s="395">
        <v>1.6153999999999999</v>
      </c>
      <c r="G166" s="395">
        <v>17.03</v>
      </c>
      <c r="H166" s="395">
        <v>32.07</v>
      </c>
      <c r="I166" s="395">
        <v>1.2057</v>
      </c>
      <c r="J166" s="395">
        <v>4.24</v>
      </c>
      <c r="K166" s="367">
        <v>1.3295238095238096</v>
      </c>
      <c r="L166" s="367">
        <v>1.8731380952380954</v>
      </c>
      <c r="M166" s="367">
        <v>1.0318619047619049</v>
      </c>
      <c r="N166" s="367">
        <v>1.6151952380952384</v>
      </c>
      <c r="O166" s="395">
        <v>17.123333333333328</v>
      </c>
      <c r="P166" s="395">
        <v>32.212222222222223</v>
      </c>
      <c r="Q166" s="395">
        <v>1.2180476190476188</v>
      </c>
      <c r="R166" s="395">
        <v>4.2509523809523797</v>
      </c>
    </row>
    <row r="167" spans="1:18" ht="15.75" customHeight="1">
      <c r="A167" s="472"/>
      <c r="B167" s="455" t="s">
        <v>110</v>
      </c>
      <c r="C167" s="368">
        <v>1.3453999999999999</v>
      </c>
      <c r="D167" s="367">
        <v>1.8608</v>
      </c>
      <c r="E167" s="367">
        <v>1.0088999999999999</v>
      </c>
      <c r="F167" s="367">
        <v>1.5951</v>
      </c>
      <c r="G167" s="367">
        <v>17.330000000000002</v>
      </c>
      <c r="H167" s="367">
        <v>32.409999999999997</v>
      </c>
      <c r="I167" s="367">
        <v>1.2109000000000001</v>
      </c>
      <c r="J167" s="367">
        <v>4.2</v>
      </c>
      <c r="K167" s="367">
        <v>1.3340090909090911</v>
      </c>
      <c r="L167" s="367">
        <v>1.8702181818181816</v>
      </c>
      <c r="M167" s="367">
        <v>1.018981818181818</v>
      </c>
      <c r="N167" s="367">
        <v>1.6061136363636366</v>
      </c>
      <c r="O167" s="367">
        <v>17.191818181818181</v>
      </c>
      <c r="P167" s="367">
        <v>32.256190476190476</v>
      </c>
      <c r="Q167" s="367">
        <v>1.2110545454545454</v>
      </c>
      <c r="R167" s="367">
        <v>4.2422727272727263</v>
      </c>
    </row>
    <row r="168" spans="1:18" ht="15.75" customHeight="1">
      <c r="A168" s="472"/>
      <c r="B168" s="455" t="s">
        <v>117</v>
      </c>
      <c r="C168" s="368">
        <v>1.3544</v>
      </c>
      <c r="D168" s="367">
        <v>1.8828</v>
      </c>
      <c r="E168" s="367">
        <v>0.99470000000000003</v>
      </c>
      <c r="F168" s="367">
        <v>1.6073</v>
      </c>
      <c r="G168" s="367">
        <v>17.43</v>
      </c>
      <c r="H168" s="367">
        <v>32.090000000000003</v>
      </c>
      <c r="I168" s="367">
        <v>1.2347999999999999</v>
      </c>
      <c r="J168" s="367">
        <v>4.1099999999999994</v>
      </c>
      <c r="K168" s="367">
        <v>1.3549363636363636</v>
      </c>
      <c r="L168" s="367">
        <v>1.8714500000000003</v>
      </c>
      <c r="M168" s="367">
        <v>1.0056636363636362</v>
      </c>
      <c r="N168" s="367">
        <v>1.6021409090909089</v>
      </c>
      <c r="O168" s="367">
        <v>17.439090909090908</v>
      </c>
      <c r="P168" s="367">
        <v>32.234999999999999</v>
      </c>
      <c r="Q168" s="367">
        <v>1.2292045454545455</v>
      </c>
      <c r="R168" s="367">
        <v>4.1527272727272715</v>
      </c>
    </row>
    <row r="169" spans="1:18" ht="15.75" customHeight="1">
      <c r="A169" s="472"/>
      <c r="B169" s="455" t="s">
        <v>112</v>
      </c>
      <c r="C169" s="367">
        <v>1.3449</v>
      </c>
      <c r="D169" s="367">
        <v>1.8498000000000001</v>
      </c>
      <c r="E169" s="367">
        <v>0.98370000000000002</v>
      </c>
      <c r="F169" s="367">
        <v>1.5878999999999999</v>
      </c>
      <c r="G169" s="367">
        <v>17.29</v>
      </c>
      <c r="H169" s="367">
        <v>32.379999999999995</v>
      </c>
      <c r="I169" s="367">
        <v>1.2224999999999999</v>
      </c>
      <c r="J169" s="367">
        <v>4.17</v>
      </c>
      <c r="K169" s="367">
        <v>1.3548318181818182</v>
      </c>
      <c r="L169" s="367">
        <v>1.8691772727272729</v>
      </c>
      <c r="M169" s="367">
        <v>0.98955454545454558</v>
      </c>
      <c r="N169" s="367">
        <v>1.5944</v>
      </c>
      <c r="O169" s="367">
        <v>17.41</v>
      </c>
      <c r="P169" s="367">
        <v>32.125454545454545</v>
      </c>
      <c r="Q169" s="367">
        <v>1.2334818181818183</v>
      </c>
      <c r="R169" s="367">
        <v>4.0972727272727276</v>
      </c>
    </row>
    <row r="170" spans="1:18" ht="15.75" customHeight="1">
      <c r="A170" s="472"/>
      <c r="B170" s="455" t="s">
        <v>113</v>
      </c>
      <c r="C170" s="368">
        <v>1.3576999999999999</v>
      </c>
      <c r="D170" s="367">
        <v>1.8294999999999999</v>
      </c>
      <c r="E170" s="367">
        <v>0.98129999999999995</v>
      </c>
      <c r="F170" s="367">
        <v>1.5718999999999999</v>
      </c>
      <c r="G170" s="367">
        <v>17.440000000000001</v>
      </c>
      <c r="H170" s="367">
        <v>32.440000000000005</v>
      </c>
      <c r="I170" s="367">
        <v>1.2202999999999999</v>
      </c>
      <c r="J170" s="367">
        <v>4.04</v>
      </c>
      <c r="K170" s="367">
        <v>1.3480818181818184</v>
      </c>
      <c r="L170" s="367">
        <v>1.8506454545454545</v>
      </c>
      <c r="M170" s="367">
        <v>0.98614090909090912</v>
      </c>
      <c r="N170" s="367">
        <v>1.5860727272727273</v>
      </c>
      <c r="O170" s="367">
        <v>17.329545454545453</v>
      </c>
      <c r="P170" s="367">
        <v>32.338636363636361</v>
      </c>
      <c r="Q170" s="367">
        <v>1.223727272727273</v>
      </c>
      <c r="R170" s="367">
        <v>4.0786363636363632</v>
      </c>
    </row>
    <row r="171" spans="1:18" ht="15.75" customHeight="1">
      <c r="A171" s="472"/>
      <c r="B171" s="455" t="s">
        <v>114</v>
      </c>
      <c r="C171" s="367">
        <v>1.3488</v>
      </c>
      <c r="D171" s="367">
        <v>1.8460000000000001</v>
      </c>
      <c r="E171" s="367">
        <v>1.0142</v>
      </c>
      <c r="F171" s="367">
        <v>1.5592999999999999</v>
      </c>
      <c r="G171" s="367">
        <v>17.34</v>
      </c>
      <c r="H171" s="367">
        <v>32.57</v>
      </c>
      <c r="I171" s="367">
        <v>1.1831</v>
      </c>
      <c r="J171" s="367">
        <v>4.05</v>
      </c>
      <c r="K171" s="367">
        <v>1.3511571428571429</v>
      </c>
      <c r="L171" s="367">
        <v>1.8498142857142861</v>
      </c>
      <c r="M171" s="367">
        <v>1.0007999999999999</v>
      </c>
      <c r="N171" s="367">
        <v>1.5671238095238094</v>
      </c>
      <c r="O171" s="367">
        <v>17.37</v>
      </c>
      <c r="P171" s="367">
        <v>32.457142857142863</v>
      </c>
      <c r="Q171" s="367">
        <v>1.1939761904761903</v>
      </c>
      <c r="R171" s="367">
        <v>4.0423809523809524</v>
      </c>
    </row>
    <row r="172" spans="1:18" ht="15.75" customHeight="1">
      <c r="A172" s="472"/>
      <c r="B172" s="455" t="s">
        <v>115</v>
      </c>
      <c r="C172" s="368">
        <v>1.365</v>
      </c>
      <c r="D172" s="367">
        <v>1.8146</v>
      </c>
      <c r="E172" s="367">
        <v>0.97230000000000005</v>
      </c>
      <c r="F172" s="367">
        <v>1.5468999999999999</v>
      </c>
      <c r="G172" s="367">
        <v>17.5</v>
      </c>
      <c r="H172" s="367">
        <v>32.450000000000003</v>
      </c>
      <c r="I172" s="367">
        <v>1.2057</v>
      </c>
      <c r="J172" s="367">
        <v>4.05</v>
      </c>
      <c r="K172" s="367">
        <v>1.3570909090909091</v>
      </c>
      <c r="L172" s="367">
        <v>1.825209090909091</v>
      </c>
      <c r="M172" s="367">
        <v>0.99054999999999993</v>
      </c>
      <c r="N172" s="367">
        <v>1.547945454545455</v>
      </c>
      <c r="O172" s="367">
        <v>17.423181818181817</v>
      </c>
      <c r="P172" s="367">
        <v>32.473181818181814</v>
      </c>
      <c r="Q172" s="367">
        <v>1.1897409090909092</v>
      </c>
      <c r="R172" s="367">
        <v>4.1054545454545455</v>
      </c>
    </row>
    <row r="173" spans="1:18" ht="15.75" customHeight="1">
      <c r="A173" s="473"/>
      <c r="B173" s="456" t="s">
        <v>116</v>
      </c>
      <c r="C173" s="370">
        <v>1.349</v>
      </c>
      <c r="D173" s="369">
        <v>1.8243</v>
      </c>
      <c r="E173" s="369">
        <v>0.98</v>
      </c>
      <c r="F173" s="369">
        <v>1.5337000000000001</v>
      </c>
      <c r="G173" s="369">
        <v>17.299999999999997</v>
      </c>
      <c r="H173" s="369">
        <v>32.39</v>
      </c>
      <c r="I173" s="369">
        <v>1.1716</v>
      </c>
      <c r="J173" s="369">
        <v>4.0599999999999996</v>
      </c>
      <c r="K173" s="369">
        <v>1.3627608695652174</v>
      </c>
      <c r="L173" s="369">
        <v>1.8148347826086957</v>
      </c>
      <c r="M173" s="369">
        <v>0.97613478260869546</v>
      </c>
      <c r="N173" s="369">
        <v>1.5408304347826092</v>
      </c>
      <c r="O173" s="369">
        <v>17.476521739130437</v>
      </c>
      <c r="P173" s="369">
        <v>32.36347826086957</v>
      </c>
      <c r="Q173" s="369">
        <v>1.1960000000000002</v>
      </c>
      <c r="R173" s="369">
        <v>4.0647826086956513</v>
      </c>
    </row>
    <row r="174" spans="1:18" ht="15.75" customHeight="1">
      <c r="A174" s="471">
        <v>2022</v>
      </c>
      <c r="B174" s="454" t="s">
        <v>105</v>
      </c>
      <c r="C174" s="371">
        <v>1.3512999999999999</v>
      </c>
      <c r="D174" s="371">
        <v>1.8169999999999999</v>
      </c>
      <c r="E174" s="371">
        <v>0.95520000000000005</v>
      </c>
      <c r="F174" s="371">
        <v>1.5181</v>
      </c>
      <c r="G174" s="371">
        <v>17.34</v>
      </c>
      <c r="H174" s="371">
        <v>32.369999999999997</v>
      </c>
      <c r="I174" s="371">
        <v>1.1736</v>
      </c>
      <c r="J174" s="371">
        <v>4.07</v>
      </c>
      <c r="K174" s="371">
        <v>1.3507238095238097</v>
      </c>
      <c r="L174" s="371">
        <v>1.8312809523809523</v>
      </c>
      <c r="M174" s="371">
        <v>0.96926666666666672</v>
      </c>
      <c r="N174" s="371">
        <v>1.5290571428571431</v>
      </c>
      <c r="O174" s="371">
        <v>17.342857142857149</v>
      </c>
      <c r="P174" s="371">
        <v>32.257619047619052</v>
      </c>
      <c r="Q174" s="371">
        <v>1.1762000000000001</v>
      </c>
      <c r="R174" s="371">
        <v>4.0704761904761897</v>
      </c>
    </row>
    <row r="175" spans="1:18" ht="15.75" customHeight="1">
      <c r="A175" s="472"/>
      <c r="B175" s="455" t="s">
        <v>106</v>
      </c>
      <c r="C175" s="367">
        <v>1.3549</v>
      </c>
      <c r="D175" s="367">
        <v>1.8178000000000001</v>
      </c>
      <c r="E175" s="367">
        <v>0.98409999999999997</v>
      </c>
      <c r="F175" s="367">
        <v>1.5202</v>
      </c>
      <c r="G175" s="367">
        <v>17.349999999999998</v>
      </c>
      <c r="H175" s="367">
        <v>32.33</v>
      </c>
      <c r="I175" s="367">
        <v>1.1785000000000001</v>
      </c>
      <c r="J175" s="367">
        <v>4.1500000000000004</v>
      </c>
      <c r="K175" s="367">
        <v>1.3467399999999998</v>
      </c>
      <c r="L175" s="367">
        <v>1.8231850000000001</v>
      </c>
      <c r="M175" s="367">
        <v>0.96542500000000031</v>
      </c>
      <c r="N175" s="367">
        <v>1.527625</v>
      </c>
      <c r="O175" s="367">
        <v>17.2715</v>
      </c>
      <c r="P175" s="367">
        <v>32.171500000000002</v>
      </c>
      <c r="Q175" s="367">
        <v>1.1688700000000001</v>
      </c>
      <c r="R175" s="367">
        <v>4.1320000000000006</v>
      </c>
    </row>
    <row r="176" spans="1:18" ht="15.75" customHeight="1">
      <c r="A176" s="472"/>
      <c r="B176" s="455" t="s">
        <v>107</v>
      </c>
      <c r="C176" s="367">
        <v>1.3545</v>
      </c>
      <c r="D176" s="367">
        <v>1.7808999999999999</v>
      </c>
      <c r="E176" s="367">
        <v>1.0141</v>
      </c>
      <c r="F176" s="367">
        <v>1.4997</v>
      </c>
      <c r="G176" s="367">
        <v>17.299999999999997</v>
      </c>
      <c r="H176" s="367">
        <v>32.24</v>
      </c>
      <c r="I176" s="367">
        <v>1.1134999999999999</v>
      </c>
      <c r="J176" s="367">
        <v>4.08</v>
      </c>
      <c r="K176" s="367">
        <v>1.3587391304347827</v>
      </c>
      <c r="L176" s="367">
        <v>1.7888739130434785</v>
      </c>
      <c r="M176" s="367">
        <v>1.0023130434782606</v>
      </c>
      <c r="N176" s="367">
        <v>1.4967739130434783</v>
      </c>
      <c r="O176" s="367">
        <v>17.37086956521739</v>
      </c>
      <c r="P176" s="367">
        <v>32.346521739130431</v>
      </c>
      <c r="Q176" s="367">
        <v>1.1452913043478261</v>
      </c>
      <c r="R176" s="367">
        <v>4.0904347826086962</v>
      </c>
    </row>
    <row r="177" spans="1:18" ht="15.75" customHeight="1">
      <c r="A177" s="472"/>
      <c r="B177" s="455" t="s">
        <v>108</v>
      </c>
      <c r="C177" s="367">
        <v>1.3834</v>
      </c>
      <c r="D177" s="367">
        <v>1.7392000000000001</v>
      </c>
      <c r="E177" s="367">
        <v>0.97670000000000001</v>
      </c>
      <c r="F177" s="367">
        <v>1.4585999999999999</v>
      </c>
      <c r="G177" s="367">
        <v>17.630000000000003</v>
      </c>
      <c r="H177" s="367">
        <v>31.740000000000002</v>
      </c>
      <c r="I177" s="367">
        <v>1.0658000000000001</v>
      </c>
      <c r="J177" s="367">
        <v>4.04</v>
      </c>
      <c r="K177" s="367">
        <v>1.3664666666666665</v>
      </c>
      <c r="L177" s="367">
        <v>1.7670714285714286</v>
      </c>
      <c r="M177" s="367">
        <v>1.0057285714285715</v>
      </c>
      <c r="N177" s="367">
        <v>1.4758380952380952</v>
      </c>
      <c r="O177" s="367">
        <v>17.42761904761905</v>
      </c>
      <c r="P177" s="367">
        <v>31.996190476190478</v>
      </c>
      <c r="Q177" s="367">
        <v>1.0811238095238094</v>
      </c>
      <c r="R177" s="367">
        <v>4.0466666666666651</v>
      </c>
    </row>
    <row r="178" spans="1:18" ht="15.75" customHeight="1">
      <c r="A178" s="472"/>
      <c r="B178" s="455" t="s">
        <v>109</v>
      </c>
      <c r="C178" s="367">
        <v>1.3698999999999999</v>
      </c>
      <c r="D178" s="367">
        <v>1.7270000000000001</v>
      </c>
      <c r="E178" s="367">
        <v>0.98350000000000004</v>
      </c>
      <c r="F178" s="367">
        <v>1.4708000000000001</v>
      </c>
      <c r="G178" s="367">
        <v>17.47</v>
      </c>
      <c r="H178" s="367">
        <v>31.31</v>
      </c>
      <c r="I178" s="367">
        <v>1.0647</v>
      </c>
      <c r="J178" s="367">
        <v>4</v>
      </c>
      <c r="K178" s="367">
        <v>1.3820954545454547</v>
      </c>
      <c r="L178" s="367">
        <v>1.7210863636363636</v>
      </c>
      <c r="M178" s="367">
        <v>0.97482272727272734</v>
      </c>
      <c r="N178" s="367">
        <v>1.4623727272727274</v>
      </c>
      <c r="O178" s="367">
        <v>17.610454545454544</v>
      </c>
      <c r="P178" s="367">
        <v>31.549545454545452</v>
      </c>
      <c r="Q178" s="367">
        <v>1.0731136363636362</v>
      </c>
      <c r="R178" s="367">
        <v>4.0200000000000005</v>
      </c>
    </row>
    <row r="179" spans="1:18" ht="15.75" customHeight="1">
      <c r="A179" s="472"/>
      <c r="B179" s="455" t="s">
        <v>110</v>
      </c>
      <c r="C179" s="367">
        <v>1.3905000000000001</v>
      </c>
      <c r="D179" s="367">
        <v>1.6920999999999999</v>
      </c>
      <c r="E179" s="367">
        <v>0.95930000000000004</v>
      </c>
      <c r="F179" s="367">
        <v>1.4564999999999999</v>
      </c>
      <c r="G179" s="367">
        <v>17.71</v>
      </c>
      <c r="H179" s="367">
        <v>31.630000000000003</v>
      </c>
      <c r="I179" s="367">
        <v>1.0235000000000001</v>
      </c>
      <c r="J179" s="367">
        <v>3.94</v>
      </c>
      <c r="K179" s="367">
        <v>1.3846499999999999</v>
      </c>
      <c r="L179" s="367">
        <v>1.7054681818181818</v>
      </c>
      <c r="M179" s="367">
        <v>0.97229545454545463</v>
      </c>
      <c r="N179" s="367">
        <v>1.4627136363636362</v>
      </c>
      <c r="O179" s="367">
        <v>17.645909090909093</v>
      </c>
      <c r="P179" s="367">
        <v>31.47136363636363</v>
      </c>
      <c r="Q179" s="367">
        <v>1.0323045454545454</v>
      </c>
      <c r="R179" s="367">
        <v>3.9672727272727282</v>
      </c>
    </row>
    <row r="180" spans="1:18" ht="15.75" customHeight="1">
      <c r="A180" s="472"/>
      <c r="B180" s="455" t="s">
        <v>117</v>
      </c>
      <c r="C180" s="367">
        <v>1.3805000000000001</v>
      </c>
      <c r="D180" s="367">
        <v>1.6816</v>
      </c>
      <c r="E180" s="367">
        <v>0.96519999999999995</v>
      </c>
      <c r="F180" s="367">
        <v>1.4117999999999999</v>
      </c>
      <c r="G180" s="367">
        <v>17.59</v>
      </c>
      <c r="H180" s="367">
        <v>30.990000000000002</v>
      </c>
      <c r="I180" s="367">
        <v>1.0364</v>
      </c>
      <c r="J180" s="367">
        <v>3.81</v>
      </c>
      <c r="K180" s="367">
        <v>1.3954380952380949</v>
      </c>
      <c r="L180" s="367">
        <v>1.6746190476190475</v>
      </c>
      <c r="M180" s="367">
        <v>0.95738571428571428</v>
      </c>
      <c r="N180" s="367">
        <v>1.4208619047619049</v>
      </c>
      <c r="O180" s="367">
        <v>17.781904761904759</v>
      </c>
      <c r="P180" s="367">
        <v>31.429999999999996</v>
      </c>
      <c r="Q180" s="367">
        <v>1.0212047619047619</v>
      </c>
      <c r="R180" s="367">
        <v>3.8419047619047628</v>
      </c>
    </row>
    <row r="181" spans="1:18" ht="15.75" customHeight="1">
      <c r="A181" s="472"/>
      <c r="B181" s="455" t="s">
        <v>112</v>
      </c>
      <c r="C181" s="367">
        <v>1.3971</v>
      </c>
      <c r="D181" s="367">
        <v>1.6240000000000001</v>
      </c>
      <c r="E181" s="367">
        <v>0.95609999999999995</v>
      </c>
      <c r="F181" s="367">
        <v>1.4047000000000001</v>
      </c>
      <c r="G181" s="367">
        <v>17.8</v>
      </c>
      <c r="H181" s="367">
        <v>31.25</v>
      </c>
      <c r="I181" s="367">
        <v>1.0055000000000001</v>
      </c>
      <c r="J181" s="367">
        <v>3.82</v>
      </c>
      <c r="K181" s="367">
        <v>1.3843913043478262</v>
      </c>
      <c r="L181" s="367">
        <v>1.6576086956521743</v>
      </c>
      <c r="M181" s="367">
        <v>0.96301304347826089</v>
      </c>
      <c r="N181" s="367">
        <v>1.4013565217391304</v>
      </c>
      <c r="O181" s="367">
        <v>17.646956521739128</v>
      </c>
      <c r="P181" s="367">
        <v>30.993478260869566</v>
      </c>
      <c r="Q181" s="367">
        <v>1.0228260869565218</v>
      </c>
      <c r="R181" s="367">
        <v>3.8643478260869566</v>
      </c>
    </row>
    <row r="182" spans="1:18" ht="15.75" customHeight="1">
      <c r="A182" s="472"/>
      <c r="B182" s="455" t="s">
        <v>113</v>
      </c>
      <c r="C182" s="367">
        <v>1.4353</v>
      </c>
      <c r="D182" s="367">
        <v>1.6041000000000001</v>
      </c>
      <c r="E182" s="367">
        <v>0.91949999999999998</v>
      </c>
      <c r="F182" s="367">
        <v>1.4078999999999999</v>
      </c>
      <c r="G182" s="367">
        <v>18.3</v>
      </c>
      <c r="H182" s="367">
        <v>30.97</v>
      </c>
      <c r="I182" s="367">
        <v>0.99209999999999998</v>
      </c>
      <c r="J182" s="367">
        <v>3.8</v>
      </c>
      <c r="K182" s="367">
        <v>1.4142409090909092</v>
      </c>
      <c r="L182" s="367">
        <v>1.6010500000000001</v>
      </c>
      <c r="M182" s="367">
        <v>0.94362272727272756</v>
      </c>
      <c r="N182" s="367">
        <v>1.3998318181818183</v>
      </c>
      <c r="O182" s="367">
        <v>18.021363636363638</v>
      </c>
      <c r="P182" s="367">
        <v>31.119090909090914</v>
      </c>
      <c r="Q182" s="367">
        <v>0.98749545454545462</v>
      </c>
      <c r="R182" s="367">
        <v>3.8227272727272728</v>
      </c>
    </row>
    <row r="183" spans="1:18" ht="15.75" customHeight="1">
      <c r="A183" s="472"/>
      <c r="B183" s="455" t="s">
        <v>114</v>
      </c>
      <c r="C183" s="367">
        <v>1.4165000000000001</v>
      </c>
      <c r="D183" s="367">
        <v>1.6240000000000001</v>
      </c>
      <c r="E183" s="367">
        <v>0.90620000000000001</v>
      </c>
      <c r="F183" s="367">
        <v>1.3997999999999999</v>
      </c>
      <c r="G183" s="367">
        <v>18.05</v>
      </c>
      <c r="H183" s="367">
        <v>29.959999999999997</v>
      </c>
      <c r="I183" s="367">
        <v>0.95240000000000002</v>
      </c>
      <c r="J183" s="367">
        <v>3.73</v>
      </c>
      <c r="K183" s="367">
        <v>1.4237285714285715</v>
      </c>
      <c r="L183" s="367">
        <v>1.6099380952380951</v>
      </c>
      <c r="M183" s="367">
        <v>0.90603809523809509</v>
      </c>
      <c r="N183" s="367">
        <v>1.4013380952380952</v>
      </c>
      <c r="O183" s="367">
        <v>18.140476190476193</v>
      </c>
      <c r="P183" s="367">
        <v>30.34571428571428</v>
      </c>
      <c r="Q183" s="367">
        <v>0.96776190476190493</v>
      </c>
      <c r="R183" s="367">
        <v>3.7552380952380964</v>
      </c>
    </row>
    <row r="184" spans="1:18" ht="15.75" customHeight="1">
      <c r="A184" s="472"/>
      <c r="B184" s="455" t="s">
        <v>115</v>
      </c>
      <c r="C184" s="367">
        <v>1.3614999999999999</v>
      </c>
      <c r="D184" s="367">
        <v>1.6417999999999999</v>
      </c>
      <c r="E184" s="367">
        <v>0.92420000000000002</v>
      </c>
      <c r="F184" s="367">
        <v>1.4171</v>
      </c>
      <c r="G184" s="367">
        <v>17.43</v>
      </c>
      <c r="H184" s="367">
        <v>30.73</v>
      </c>
      <c r="I184" s="367">
        <v>0.98580000000000001</v>
      </c>
      <c r="J184" s="367">
        <v>3.88</v>
      </c>
      <c r="K184" s="367">
        <v>1.3856727272727274</v>
      </c>
      <c r="L184" s="367">
        <v>1.6284454545454545</v>
      </c>
      <c r="M184" s="367">
        <v>0.91578636363636401</v>
      </c>
      <c r="N184" s="367">
        <v>1.4145272727272724</v>
      </c>
      <c r="O184" s="367">
        <v>17.698181818181819</v>
      </c>
      <c r="P184" s="367">
        <v>30.088636363636368</v>
      </c>
      <c r="Q184" s="367">
        <v>0.97570454545454555</v>
      </c>
      <c r="R184" s="367">
        <v>3.8177272727272724</v>
      </c>
    </row>
    <row r="185" spans="1:18" ht="15.75" customHeight="1">
      <c r="A185" s="473"/>
      <c r="B185" s="456" t="s">
        <v>116</v>
      </c>
      <c r="C185" s="369">
        <v>1.3394999999999999</v>
      </c>
      <c r="D185" s="369">
        <v>1.6220000000000001</v>
      </c>
      <c r="E185" s="369">
        <v>0.91379999999999995</v>
      </c>
      <c r="F185" s="369">
        <v>1.4353</v>
      </c>
      <c r="G185" s="369">
        <v>17.190000000000001</v>
      </c>
      <c r="H185" s="369">
        <v>30.44</v>
      </c>
      <c r="I185" s="369">
        <v>1.0224</v>
      </c>
      <c r="J185" s="369">
        <v>3.88</v>
      </c>
      <c r="K185" s="369">
        <v>1.3520000000000001</v>
      </c>
      <c r="L185" s="369">
        <v>1.6454181818181823</v>
      </c>
      <c r="M185" s="369">
        <v>0.9120136363636363</v>
      </c>
      <c r="N185" s="369">
        <v>1.431809090909091</v>
      </c>
      <c r="O185" s="369">
        <v>17.364545454545453</v>
      </c>
      <c r="P185" s="369">
        <v>30.655714285714286</v>
      </c>
      <c r="Q185" s="369">
        <v>1.002440909090909</v>
      </c>
      <c r="R185" s="369">
        <v>3.8909090909090915</v>
      </c>
    </row>
    <row r="186" spans="1:18" ht="15.65" customHeight="1">
      <c r="A186" s="471">
        <v>2023</v>
      </c>
      <c r="B186" s="454" t="s">
        <v>105</v>
      </c>
      <c r="C186" s="371">
        <v>1.3139000000000001</v>
      </c>
      <c r="D186" s="371">
        <v>1.6186</v>
      </c>
      <c r="E186" s="371">
        <v>0.92689999999999995</v>
      </c>
      <c r="F186" s="371">
        <v>1.4272</v>
      </c>
      <c r="G186" s="371">
        <v>16.760000000000002</v>
      </c>
      <c r="H186" s="371">
        <v>30.79</v>
      </c>
      <c r="I186" s="371">
        <v>1.0099</v>
      </c>
      <c r="J186" s="371">
        <v>4.01</v>
      </c>
      <c r="K186" s="371">
        <v>1.3253681818181819</v>
      </c>
      <c r="L186" s="371">
        <v>1.6216272727272725</v>
      </c>
      <c r="M186" s="371">
        <v>0.92113636363636386</v>
      </c>
      <c r="N186" s="371">
        <v>1.4283454545454548</v>
      </c>
      <c r="O186" s="371">
        <v>16.950000000000003</v>
      </c>
      <c r="P186" s="371">
        <v>30.638947368421054</v>
      </c>
      <c r="Q186" s="371">
        <v>1.0165409090909094</v>
      </c>
      <c r="R186" s="371">
        <v>3.9904545454545461</v>
      </c>
    </row>
    <row r="187" spans="1:18" ht="15.75" customHeight="1">
      <c r="A187" s="472"/>
      <c r="B187" s="455" t="s">
        <v>106</v>
      </c>
      <c r="C187" s="367">
        <v>1.3484</v>
      </c>
      <c r="D187" s="367">
        <v>1.6211</v>
      </c>
      <c r="E187" s="367">
        <v>0.90739999999999998</v>
      </c>
      <c r="F187" s="367">
        <v>1.4260999999999999</v>
      </c>
      <c r="G187" s="367">
        <v>17.18</v>
      </c>
      <c r="H187" s="367">
        <v>30.049999999999997</v>
      </c>
      <c r="I187" s="367">
        <v>0.98980000000000001</v>
      </c>
      <c r="J187" s="367">
        <v>3.83</v>
      </c>
      <c r="K187" s="367">
        <v>1.3322300000000002</v>
      </c>
      <c r="L187" s="367">
        <v>1.6091200000000001</v>
      </c>
      <c r="M187" s="367">
        <v>0.91871500000000006</v>
      </c>
      <c r="N187" s="367">
        <v>1.4256549999999999</v>
      </c>
      <c r="O187" s="367">
        <v>16.982000000000003</v>
      </c>
      <c r="P187" s="367">
        <v>30.45210526315789</v>
      </c>
      <c r="Q187" s="367">
        <v>1.0008050000000002</v>
      </c>
      <c r="R187" s="367">
        <v>3.9109999999999991</v>
      </c>
    </row>
    <row r="188" spans="1:18" ht="15.75" customHeight="1">
      <c r="A188" s="472"/>
      <c r="B188" s="455" t="s">
        <v>107</v>
      </c>
      <c r="C188" s="367">
        <v>1.3309</v>
      </c>
      <c r="D188" s="367">
        <v>1.6425000000000001</v>
      </c>
      <c r="E188" s="367">
        <v>0.88980000000000004</v>
      </c>
      <c r="F188" s="367">
        <v>1.444</v>
      </c>
      <c r="G188" s="367">
        <v>16.97</v>
      </c>
      <c r="H188" s="367">
        <v>30.130000000000003</v>
      </c>
      <c r="I188" s="367">
        <v>1.0029999999999999</v>
      </c>
      <c r="J188" s="367">
        <v>3.9</v>
      </c>
      <c r="K188" s="367">
        <v>1.3405478260869563</v>
      </c>
      <c r="L188" s="367">
        <v>1.6277304347826089</v>
      </c>
      <c r="M188" s="367">
        <v>0.89462173913043475</v>
      </c>
      <c r="N188" s="367">
        <v>1.4359304347826085</v>
      </c>
      <c r="O188" s="367">
        <v>17.081739130434784</v>
      </c>
      <c r="P188" s="367">
        <v>30.019130434782603</v>
      </c>
      <c r="Q188" s="367">
        <v>1.0029869565217389</v>
      </c>
      <c r="R188" s="367">
        <v>3.890869565217391</v>
      </c>
    </row>
    <row r="189" spans="1:18" ht="15.75" customHeight="1">
      <c r="A189" s="472"/>
      <c r="B189" s="455" t="s">
        <v>108</v>
      </c>
      <c r="C189" s="367">
        <v>1.3344</v>
      </c>
      <c r="D189" s="367">
        <v>1.6777</v>
      </c>
      <c r="E189" s="367">
        <v>0.88349999999999995</v>
      </c>
      <c r="F189" s="367">
        <v>1.4705999999999999</v>
      </c>
      <c r="G189" s="367">
        <v>17</v>
      </c>
      <c r="H189" s="367">
        <v>29.970000000000002</v>
      </c>
      <c r="I189" s="367">
        <v>0.98</v>
      </c>
      <c r="J189" s="367">
        <v>3.91</v>
      </c>
      <c r="K189" s="367">
        <v>1.3319319999999999</v>
      </c>
      <c r="L189" s="367">
        <v>1.6573399999999998</v>
      </c>
      <c r="M189" s="367">
        <v>0.89039200000000007</v>
      </c>
      <c r="N189" s="367">
        <v>1.459716</v>
      </c>
      <c r="O189" s="367">
        <v>16.968</v>
      </c>
      <c r="P189" s="367">
        <v>30.098800000000004</v>
      </c>
      <c r="Q189" s="367">
        <v>0.99752799999999975</v>
      </c>
      <c r="R189" s="367">
        <v>3.890000000000001</v>
      </c>
    </row>
    <row r="190" spans="1:18" ht="15.75" customHeight="1">
      <c r="A190" s="472"/>
      <c r="B190" s="455" t="s">
        <v>109</v>
      </c>
      <c r="C190" s="367">
        <v>1.3516999999999999</v>
      </c>
      <c r="D190" s="367">
        <v>1.6818</v>
      </c>
      <c r="E190" s="367">
        <v>0.87919999999999998</v>
      </c>
      <c r="F190" s="367">
        <v>1.4451000000000001</v>
      </c>
      <c r="G190" s="367">
        <v>17.27</v>
      </c>
      <c r="H190" s="367">
        <v>29.310000000000002</v>
      </c>
      <c r="I190" s="367">
        <v>0.97050000000000003</v>
      </c>
      <c r="J190" s="367">
        <v>3.9</v>
      </c>
      <c r="K190" s="367">
        <v>1.3399478260869568</v>
      </c>
      <c r="L190" s="367">
        <v>1.6720043478260873</v>
      </c>
      <c r="M190" s="367">
        <v>0.88987391304347818</v>
      </c>
      <c r="N190" s="367">
        <v>1.4555304347826088</v>
      </c>
      <c r="O190" s="367">
        <v>17.102608695652176</v>
      </c>
      <c r="P190" s="367">
        <v>29.643636363636368</v>
      </c>
      <c r="Q190" s="367">
        <v>0.97650434782608708</v>
      </c>
      <c r="R190" s="367">
        <v>3.9178260869565227</v>
      </c>
    </row>
    <row r="191" spans="1:18" ht="15.75" customHeight="1">
      <c r="A191" s="472"/>
      <c r="B191" s="455" t="s">
        <v>110</v>
      </c>
      <c r="C191" s="367">
        <v>1.3524</v>
      </c>
      <c r="D191" s="367">
        <v>1.7166999999999999</v>
      </c>
      <c r="E191" s="367">
        <v>0.90090000000000003</v>
      </c>
      <c r="F191" s="367">
        <v>1.4754</v>
      </c>
      <c r="G191" s="367">
        <v>17.260000000000002</v>
      </c>
      <c r="H191" s="367">
        <v>29.060000000000002</v>
      </c>
      <c r="I191" s="367">
        <v>0.93710000000000004</v>
      </c>
      <c r="J191" s="367">
        <v>3.83</v>
      </c>
      <c r="K191" s="367">
        <v>1.3462818181818184</v>
      </c>
      <c r="L191" s="367">
        <v>1.7011954545454544</v>
      </c>
      <c r="M191" s="367">
        <v>0.90416818181818182</v>
      </c>
      <c r="N191" s="367">
        <v>1.4601363636363636</v>
      </c>
      <c r="O191" s="367">
        <v>17.19318181818182</v>
      </c>
      <c r="P191" s="367">
        <v>29.041428571428575</v>
      </c>
      <c r="Q191" s="367">
        <v>0.95199545454545464</v>
      </c>
      <c r="R191" s="367">
        <v>3.8600000000000017</v>
      </c>
    </row>
    <row r="192" spans="1:18" ht="15.75" customHeight="1">
      <c r="A192" s="472"/>
      <c r="B192" s="455" t="s">
        <v>117</v>
      </c>
      <c r="C192" s="367">
        <v>1.3295999999999999</v>
      </c>
      <c r="D192" s="367">
        <v>1.7065999999999999</v>
      </c>
      <c r="E192" s="367">
        <v>0.8931</v>
      </c>
      <c r="F192" s="367">
        <v>1.4621999999999999</v>
      </c>
      <c r="G192" s="367">
        <v>17.059999999999999</v>
      </c>
      <c r="H192" s="367">
        <v>29.5</v>
      </c>
      <c r="I192" s="367">
        <v>0.93459999999999999</v>
      </c>
      <c r="J192" s="367">
        <v>3.88</v>
      </c>
      <c r="K192" s="367">
        <v>1.3342285714285713</v>
      </c>
      <c r="L192" s="367">
        <v>1.7191666666666667</v>
      </c>
      <c r="M192" s="367">
        <v>0.89885238095238107</v>
      </c>
      <c r="N192" s="367">
        <v>1.4752714285714286</v>
      </c>
      <c r="O192" s="367">
        <v>17.072857142857139</v>
      </c>
      <c r="P192" s="367">
        <v>29.070952380952374</v>
      </c>
      <c r="Q192" s="367">
        <v>0.9461142857142858</v>
      </c>
      <c r="R192" s="367">
        <v>3.8590476190476184</v>
      </c>
    </row>
    <row r="193" spans="1:18" ht="15.75" customHeight="1">
      <c r="A193" s="472"/>
      <c r="B193" s="455" t="s">
        <v>112</v>
      </c>
      <c r="C193" s="367">
        <v>1.3512</v>
      </c>
      <c r="D193" s="367">
        <v>1.7124999999999999</v>
      </c>
      <c r="E193" s="367">
        <v>0.87629999999999997</v>
      </c>
      <c r="F193" s="367">
        <v>1.4653</v>
      </c>
      <c r="G193" s="367">
        <v>17.239999999999998</v>
      </c>
      <c r="H193" s="367">
        <v>29.12</v>
      </c>
      <c r="I193" s="367">
        <v>0.92849999999999999</v>
      </c>
      <c r="J193" s="367">
        <v>3.8600000000000003</v>
      </c>
      <c r="K193" s="367">
        <v>1.3509304347826088</v>
      </c>
      <c r="L193" s="367">
        <v>1.716313043478261</v>
      </c>
      <c r="M193" s="367">
        <v>0.87580869565217367</v>
      </c>
      <c r="N193" s="367">
        <v>1.4733913043478264</v>
      </c>
      <c r="O193" s="367">
        <v>17.263478260869569</v>
      </c>
      <c r="P193" s="367">
        <v>29.297826086956537</v>
      </c>
      <c r="Q193" s="367">
        <v>0.93249565217391295</v>
      </c>
      <c r="R193" s="367">
        <v>3.8578260869565213</v>
      </c>
    </row>
    <row r="194" spans="1:18" ht="15.75" customHeight="1">
      <c r="A194" s="472"/>
      <c r="B194" s="455" t="s">
        <v>113</v>
      </c>
      <c r="C194" s="367">
        <v>1.3662000000000001</v>
      </c>
      <c r="D194" s="367">
        <v>1.6669</v>
      </c>
      <c r="E194" s="367">
        <v>0.87909999999999999</v>
      </c>
      <c r="F194" s="367">
        <v>1.4440999999999999</v>
      </c>
      <c r="G194" s="367">
        <v>17.45</v>
      </c>
      <c r="H194" s="367">
        <v>29.04</v>
      </c>
      <c r="I194" s="367">
        <v>0.91459999999999997</v>
      </c>
      <c r="J194" s="367">
        <v>3.74</v>
      </c>
      <c r="K194" s="367">
        <v>1.3637333333333335</v>
      </c>
      <c r="L194" s="367">
        <v>1.6889047619047619</v>
      </c>
      <c r="M194" s="367">
        <v>0.87544285714285708</v>
      </c>
      <c r="N194" s="367">
        <v>1.4552904761904764</v>
      </c>
      <c r="O194" s="367">
        <v>17.423333333333336</v>
      </c>
      <c r="P194" s="367">
        <v>29.115714285714283</v>
      </c>
      <c r="Q194" s="367">
        <v>0.92215714285714312</v>
      </c>
      <c r="R194" s="367">
        <v>3.8057142857142852</v>
      </c>
    </row>
    <row r="195" spans="1:18" ht="15.75" customHeight="1">
      <c r="A195" s="472"/>
      <c r="B195" s="455" t="s">
        <v>114</v>
      </c>
      <c r="C195" s="367">
        <v>1.3696999999999999</v>
      </c>
      <c r="D195" s="367">
        <v>1.6645000000000001</v>
      </c>
      <c r="E195" s="367">
        <v>0.86819999999999997</v>
      </c>
      <c r="F195" s="367">
        <v>1.4484999999999999</v>
      </c>
      <c r="G195" s="367">
        <v>17.510000000000002</v>
      </c>
      <c r="H195" s="367">
        <v>28.749999999999996</v>
      </c>
      <c r="I195" s="367">
        <v>0.90290000000000004</v>
      </c>
      <c r="J195" s="367">
        <v>3.7900000000000005</v>
      </c>
      <c r="K195" s="367">
        <v>1.3688772727272727</v>
      </c>
      <c r="L195" s="367">
        <v>1.6664772727272725</v>
      </c>
      <c r="M195" s="367">
        <v>0.86907272727272722</v>
      </c>
      <c r="N195" s="367">
        <v>1.4461181818181819</v>
      </c>
      <c r="O195" s="367">
        <v>17.498181818181816</v>
      </c>
      <c r="P195" s="367">
        <v>28.846363636363638</v>
      </c>
      <c r="Q195" s="367">
        <v>0.9150636363636363</v>
      </c>
      <c r="R195" s="367">
        <v>3.7568181818181827</v>
      </c>
    </row>
    <row r="196" spans="1:18" ht="15.75" customHeight="1">
      <c r="A196" s="472"/>
      <c r="B196" s="455" t="s">
        <v>115</v>
      </c>
      <c r="C196" s="367">
        <v>1.3372999999999999</v>
      </c>
      <c r="D196" s="367">
        <v>1.6881999999999999</v>
      </c>
      <c r="E196" s="367">
        <v>0.88329999999999997</v>
      </c>
      <c r="F196" s="367">
        <v>1.4560999999999999</v>
      </c>
      <c r="G196" s="367">
        <v>17.130000000000003</v>
      </c>
      <c r="H196" s="367">
        <v>28.689999999999998</v>
      </c>
      <c r="I196" s="367">
        <v>0.90239999999999998</v>
      </c>
      <c r="J196" s="367">
        <v>3.7900000000000005</v>
      </c>
      <c r="K196" s="367">
        <v>1.3479999999999999</v>
      </c>
      <c r="L196" s="367">
        <v>1.6756454545454547</v>
      </c>
      <c r="M196" s="367">
        <v>0.87645909090909091</v>
      </c>
      <c r="N196" s="367">
        <v>1.4580727272727274</v>
      </c>
      <c r="O196" s="367">
        <v>17.270909090909093</v>
      </c>
      <c r="P196" s="367">
        <v>28.743809523809528</v>
      </c>
      <c r="Q196" s="367">
        <v>0.89982727272727248</v>
      </c>
      <c r="R196" s="367">
        <v>3.8077272727272731</v>
      </c>
    </row>
    <row r="197" spans="1:18" ht="15.75" customHeight="1">
      <c r="A197" s="473"/>
      <c r="B197" s="456" t="s">
        <v>116</v>
      </c>
      <c r="C197" s="369">
        <v>1.3203</v>
      </c>
      <c r="D197" s="369">
        <v>1.68</v>
      </c>
      <c r="E197" s="369">
        <v>0.89870000000000005</v>
      </c>
      <c r="F197" s="369">
        <v>1.4568000000000001</v>
      </c>
      <c r="G197" s="369">
        <v>16.900000000000002</v>
      </c>
      <c r="H197" s="369">
        <v>28.720000000000002</v>
      </c>
      <c r="I197" s="369">
        <v>0.93559999999999999</v>
      </c>
      <c r="J197" s="369">
        <v>3.84</v>
      </c>
      <c r="K197" s="369">
        <v>1.3316999999999999</v>
      </c>
      <c r="L197" s="369">
        <v>1.6861428571428567</v>
      </c>
      <c r="M197" s="369">
        <v>0.89207142857142852</v>
      </c>
      <c r="N197" s="369">
        <v>1.4539857142857142</v>
      </c>
      <c r="O197" s="369">
        <v>17.05714285714286</v>
      </c>
      <c r="P197" s="369">
        <v>28.588000000000001</v>
      </c>
      <c r="Q197" s="369">
        <v>0.92615238095238106</v>
      </c>
      <c r="R197" s="369">
        <v>3.8128571428571436</v>
      </c>
    </row>
    <row r="198" spans="1:18" ht="15.75" customHeight="1">
      <c r="A198" s="471">
        <v>2024</v>
      </c>
      <c r="B198" s="454" t="s">
        <v>105</v>
      </c>
      <c r="C198" s="371">
        <v>1.3408</v>
      </c>
      <c r="D198" s="371">
        <v>1.7007000000000001</v>
      </c>
      <c r="E198" s="371">
        <v>0.88029999999999997</v>
      </c>
      <c r="F198" s="371">
        <v>1.4503999999999999</v>
      </c>
      <c r="G198" s="371">
        <v>17.14</v>
      </c>
      <c r="H198" s="371">
        <v>28.32</v>
      </c>
      <c r="I198" s="371">
        <v>0.91190000000000004</v>
      </c>
      <c r="J198" s="371">
        <v>3.7699999999999996</v>
      </c>
      <c r="K198" s="371">
        <v>1.3361954545454546</v>
      </c>
      <c r="L198" s="371">
        <v>1.6974590909090908</v>
      </c>
      <c r="M198" s="371">
        <v>0.88687727272727279</v>
      </c>
      <c r="N198" s="371">
        <v>1.4564636363636365</v>
      </c>
      <c r="O198" s="371">
        <v>17.097272727272728</v>
      </c>
      <c r="P198" s="371">
        <v>28.506363636363641</v>
      </c>
      <c r="Q198" s="371">
        <v>0.91345000000000021</v>
      </c>
      <c r="R198" s="371">
        <v>3.7981818181818179</v>
      </c>
    </row>
    <row r="199" spans="1:18" ht="15.75" customHeight="1">
      <c r="A199" s="472"/>
      <c r="B199" s="455" t="s">
        <v>106</v>
      </c>
      <c r="C199" s="367">
        <v>1.3456999999999999</v>
      </c>
      <c r="D199" s="367">
        <v>1.6988000000000001</v>
      </c>
      <c r="E199" s="367">
        <v>0.87439999999999996</v>
      </c>
      <c r="F199" s="367">
        <v>1.4538</v>
      </c>
      <c r="G199" s="367">
        <v>17.190000000000001</v>
      </c>
      <c r="H199" s="367">
        <v>28.37</v>
      </c>
      <c r="I199" s="367">
        <v>0.8972</v>
      </c>
      <c r="J199" s="367">
        <v>3.75</v>
      </c>
      <c r="K199" s="367">
        <v>1.3449666666666669</v>
      </c>
      <c r="L199" s="367">
        <v>1.6985714285714284</v>
      </c>
      <c r="M199" s="367">
        <v>0.87742380952380949</v>
      </c>
      <c r="N199" s="367">
        <v>1.4514047619047616</v>
      </c>
      <c r="O199" s="367">
        <v>17.198095238095235</v>
      </c>
      <c r="P199" s="367">
        <v>28.206999999999994</v>
      </c>
      <c r="Q199" s="367">
        <v>0.89887142857142854</v>
      </c>
      <c r="R199" s="367">
        <v>3.7528571428571418</v>
      </c>
    </row>
    <row r="200" spans="1:18" ht="15.75" customHeight="1">
      <c r="A200" s="472"/>
      <c r="B200" s="455" t="s">
        <v>107</v>
      </c>
      <c r="C200" s="367">
        <v>1.3492999999999999</v>
      </c>
      <c r="D200" s="367">
        <v>1.7034</v>
      </c>
      <c r="E200" s="367">
        <v>0.87970000000000004</v>
      </c>
      <c r="F200" s="367">
        <v>1.4529000000000001</v>
      </c>
      <c r="G200" s="367">
        <v>17.239999999999998</v>
      </c>
      <c r="H200" s="367">
        <v>28.549999999999997</v>
      </c>
      <c r="I200" s="367">
        <v>0.89139999999999997</v>
      </c>
      <c r="J200" s="367">
        <v>3.71</v>
      </c>
      <c r="K200" s="367">
        <v>1.3406857142857145</v>
      </c>
      <c r="L200" s="367">
        <v>1.7045142857142854</v>
      </c>
      <c r="M200" s="367">
        <v>0.87936666666666652</v>
      </c>
      <c r="N200" s="367">
        <v>1.4573238095238095</v>
      </c>
      <c r="O200" s="367">
        <v>17.140476190476193</v>
      </c>
      <c r="P200" s="367">
        <v>28.437142857142856</v>
      </c>
      <c r="Q200" s="367">
        <v>0.89494761904761888</v>
      </c>
      <c r="R200" s="367">
        <v>3.7314285714285704</v>
      </c>
    </row>
    <row r="201" spans="1:18" ht="15.75" customHeight="1">
      <c r="A201" s="472"/>
      <c r="B201" s="455" t="s">
        <v>108</v>
      </c>
      <c r="C201" s="367">
        <v>1.3654999999999999</v>
      </c>
      <c r="D201" s="367">
        <v>1.7034</v>
      </c>
      <c r="E201" s="367">
        <v>0.88370000000000004</v>
      </c>
      <c r="F201" s="367">
        <v>1.4562999999999999</v>
      </c>
      <c r="G201" s="367">
        <v>17.45</v>
      </c>
      <c r="H201" s="367">
        <v>28.610000000000003</v>
      </c>
      <c r="I201" s="367">
        <v>0.86570000000000003</v>
      </c>
      <c r="J201" s="367">
        <v>3.6799999999999997</v>
      </c>
      <c r="K201" s="367">
        <v>1.357027272727273</v>
      </c>
      <c r="L201" s="367">
        <v>1.7045142857142854</v>
      </c>
      <c r="M201" s="367">
        <v>0.88286818181818205</v>
      </c>
      <c r="N201" s="367">
        <v>1.4551454545454547</v>
      </c>
      <c r="O201" s="367">
        <v>17.332272727272727</v>
      </c>
      <c r="P201" s="367">
        <v>28.464761904761904</v>
      </c>
      <c r="Q201" s="367">
        <v>0.88158181818181813</v>
      </c>
      <c r="R201" s="367">
        <v>3.6950000000000012</v>
      </c>
    </row>
    <row r="202" spans="1:18" ht="15.75" customHeight="1">
      <c r="A202" s="472"/>
      <c r="B202" s="455" t="s">
        <v>109</v>
      </c>
      <c r="C202" s="367">
        <v>1.3512</v>
      </c>
      <c r="D202" s="367">
        <v>1.7218</v>
      </c>
      <c r="E202" s="367">
        <v>0.89890000000000003</v>
      </c>
      <c r="F202" s="367">
        <v>1.4659</v>
      </c>
      <c r="G202" s="367">
        <v>17.28</v>
      </c>
      <c r="H202" s="367">
        <v>28.720000000000002</v>
      </c>
      <c r="I202" s="367">
        <v>0.8589</v>
      </c>
      <c r="J202" s="367">
        <v>3.6700000000000004</v>
      </c>
      <c r="K202" s="367">
        <v>1.3510521739130434</v>
      </c>
      <c r="L202" s="367">
        <v>1.7076478260869565</v>
      </c>
      <c r="M202" s="367">
        <v>0.89529130434782578</v>
      </c>
      <c r="N202" s="367">
        <v>1.4605000000000004</v>
      </c>
      <c r="O202" s="367">
        <v>17.298260869565215</v>
      </c>
      <c r="P202" s="367">
        <v>28.648260869565217</v>
      </c>
      <c r="Q202" s="367">
        <v>0.86705652173913061</v>
      </c>
      <c r="R202" s="367">
        <v>3.6917391304347813</v>
      </c>
    </row>
    <row r="203" spans="1:18" ht="15.75" customHeight="1">
      <c r="A203" s="472"/>
      <c r="B203" s="455" t="s">
        <v>110</v>
      </c>
      <c r="C203" s="367">
        <v>1.3560000000000001</v>
      </c>
      <c r="D203" s="367">
        <v>1.7146999999999999</v>
      </c>
      <c r="E203" s="367">
        <v>0.90449999999999997</v>
      </c>
      <c r="F203" s="367">
        <v>1.4527000000000001</v>
      </c>
      <c r="G203" s="367">
        <v>17.37</v>
      </c>
      <c r="H203" s="367">
        <v>28.720000000000002</v>
      </c>
      <c r="I203" s="367">
        <v>0.84279999999999999</v>
      </c>
      <c r="J203" s="367">
        <v>3.6900000000000004</v>
      </c>
      <c r="K203" s="367">
        <v>1.3519650000000001</v>
      </c>
      <c r="L203" s="367">
        <v>1.7190699999999997</v>
      </c>
      <c r="M203" s="367">
        <v>0.89821499999999987</v>
      </c>
      <c r="N203" s="367">
        <v>1.4551000000000001</v>
      </c>
      <c r="O203" s="367">
        <v>17.314499999999999</v>
      </c>
      <c r="P203" s="367">
        <v>28.666000000000004</v>
      </c>
      <c r="Q203" s="367">
        <v>0.85605500000000012</v>
      </c>
      <c r="R203" s="367">
        <v>3.6869999999999998</v>
      </c>
    </row>
    <row r="204" spans="1:18" ht="15.75" customHeight="1">
      <c r="A204" s="472"/>
      <c r="B204" s="455" t="s">
        <v>117</v>
      </c>
      <c r="C204" s="367">
        <v>1.3360000000000001</v>
      </c>
      <c r="D204" s="367">
        <v>1.7146999999999999</v>
      </c>
      <c r="E204" s="367">
        <v>0.874</v>
      </c>
      <c r="F204" s="367">
        <v>1.4460999999999999</v>
      </c>
      <c r="G204" s="367">
        <v>17.100000000000001</v>
      </c>
      <c r="H204" s="367">
        <v>28.720000000000002</v>
      </c>
      <c r="I204" s="367">
        <v>0.89070000000000005</v>
      </c>
      <c r="J204" s="367">
        <v>3.7600000000000002</v>
      </c>
      <c r="K204" s="367">
        <v>1.3456545454545457</v>
      </c>
      <c r="L204" s="367">
        <v>1.7190699999999997</v>
      </c>
      <c r="M204" s="367">
        <v>0.89785909090909122</v>
      </c>
      <c r="N204" s="367">
        <v>1.459913636363636</v>
      </c>
      <c r="O204" s="367">
        <v>17.233636363636364</v>
      </c>
      <c r="P204" s="367">
        <v>28.666000000000004</v>
      </c>
      <c r="Q204" s="367">
        <v>0.85495909090909095</v>
      </c>
      <c r="R204" s="367">
        <v>3.7190909090909101</v>
      </c>
    </row>
    <row r="205" spans="1:18" ht="15.75" customHeight="1">
      <c r="A205" s="472"/>
      <c r="B205" s="455" t="s">
        <v>112</v>
      </c>
      <c r="C205" s="367">
        <v>1.3067</v>
      </c>
      <c r="D205" s="367">
        <v>1.7153</v>
      </c>
      <c r="E205" s="367">
        <v>0.88449999999999995</v>
      </c>
      <c r="F205" s="367">
        <v>1.4433</v>
      </c>
      <c r="G205" s="367">
        <v>16.760000000000002</v>
      </c>
      <c r="H205" s="367">
        <v>30.209999999999997</v>
      </c>
      <c r="I205" s="367">
        <v>0.89380000000000004</v>
      </c>
      <c r="J205" s="367">
        <v>3.84</v>
      </c>
      <c r="K205" s="367">
        <v>1.3153272727272727</v>
      </c>
      <c r="L205" s="367">
        <v>1.7027772727272725</v>
      </c>
      <c r="M205" s="367">
        <v>0.87555000000000005</v>
      </c>
      <c r="N205" s="367">
        <v>1.4496818181818183</v>
      </c>
      <c r="O205" s="367">
        <v>16.87409090909091</v>
      </c>
      <c r="P205" s="367">
        <v>29.797727272727276</v>
      </c>
      <c r="Q205" s="367">
        <v>0.90009090909090905</v>
      </c>
      <c r="R205" s="367">
        <v>3.7909090909090901</v>
      </c>
    </row>
    <row r="206" spans="1:18" ht="15.75" customHeight="1">
      <c r="A206" s="472"/>
      <c r="B206" s="455" t="s">
        <v>113</v>
      </c>
      <c r="C206" s="367">
        <v>1.2849999999999999</v>
      </c>
      <c r="D206" s="367">
        <v>1.7190000000000001</v>
      </c>
      <c r="E206" s="367">
        <v>0.88800000000000001</v>
      </c>
      <c r="F206" s="367">
        <v>1.431</v>
      </c>
      <c r="G206" s="367">
        <v>16.54</v>
      </c>
      <c r="H206" s="367">
        <v>31.12</v>
      </c>
      <c r="I206" s="367">
        <v>0.89500000000000002</v>
      </c>
      <c r="J206" s="367">
        <v>3.96</v>
      </c>
      <c r="K206" s="367">
        <v>1.296</v>
      </c>
      <c r="L206" s="367">
        <v>1.7130000000000001</v>
      </c>
      <c r="M206" s="367">
        <v>0.878</v>
      </c>
      <c r="N206" s="367">
        <v>1.4390000000000001</v>
      </c>
      <c r="O206" s="367">
        <v>16.638000000000002</v>
      </c>
      <c r="P206" s="367">
        <v>30.413</v>
      </c>
      <c r="Q206" s="367">
        <v>0.90500000000000003</v>
      </c>
      <c r="R206" s="367">
        <v>3.895</v>
      </c>
    </row>
    <row r="207" spans="1:18" ht="15.75" customHeight="1">
      <c r="A207" s="472"/>
      <c r="B207" s="455" t="s">
        <v>114</v>
      </c>
      <c r="C207" s="367">
        <v>1.3198000000000001</v>
      </c>
      <c r="D207" s="367">
        <v>1.7023999999999999</v>
      </c>
      <c r="E207" s="367">
        <v>0.86870000000000003</v>
      </c>
      <c r="F207" s="367">
        <v>1.4363999999999999</v>
      </c>
      <c r="G207" s="367">
        <v>16.98</v>
      </c>
      <c r="H207" s="367">
        <v>30.220000000000002</v>
      </c>
      <c r="I207" s="367">
        <v>0.86809999999999998</v>
      </c>
      <c r="J207" s="367">
        <v>3.91</v>
      </c>
      <c r="K207" s="367">
        <v>1.3107565217391304</v>
      </c>
      <c r="L207" s="367">
        <v>1.7099043478260871</v>
      </c>
      <c r="M207" s="367">
        <v>0.87828260869565222</v>
      </c>
      <c r="N207" s="367">
        <v>1.4281304347826087</v>
      </c>
      <c r="O207" s="367">
        <v>16.873478260869568</v>
      </c>
      <c r="P207" s="367">
        <v>30.491739130434787</v>
      </c>
      <c r="Q207" s="367">
        <v>0.87443478260869556</v>
      </c>
      <c r="R207" s="367">
        <v>3.927391304347827</v>
      </c>
    </row>
    <row r="208" spans="1:18" ht="15.75" customHeight="1">
      <c r="A208" s="472"/>
      <c r="B208" s="455" t="s">
        <v>115</v>
      </c>
      <c r="C208" s="367">
        <v>1.34</v>
      </c>
      <c r="D208" s="367">
        <v>1.706</v>
      </c>
      <c r="E208" s="367">
        <v>0.872</v>
      </c>
      <c r="F208" s="367">
        <v>1.415</v>
      </c>
      <c r="G208" s="367">
        <v>17.21</v>
      </c>
      <c r="H208" s="367">
        <v>30.16</v>
      </c>
      <c r="I208" s="367">
        <v>0.89500000000000002</v>
      </c>
      <c r="J208" s="367">
        <v>3.91</v>
      </c>
      <c r="K208" s="367">
        <v>1.337</v>
      </c>
      <c r="L208" s="367">
        <v>1.704</v>
      </c>
      <c r="M208" s="367">
        <v>0.873</v>
      </c>
      <c r="N208" s="367">
        <v>1.42</v>
      </c>
      <c r="O208" s="367">
        <v>17.184000000000001</v>
      </c>
      <c r="P208" s="367">
        <v>30.145</v>
      </c>
      <c r="Q208" s="367">
        <v>0.87</v>
      </c>
      <c r="R208" s="367">
        <v>3.8809999999999998</v>
      </c>
    </row>
    <row r="209" spans="1:18" ht="15.75" customHeight="1">
      <c r="A209" s="473"/>
      <c r="B209" s="456" t="s">
        <v>116</v>
      </c>
      <c r="C209" s="369">
        <v>1.3656999999999999</v>
      </c>
      <c r="D209" s="369">
        <v>1.7085999999999999</v>
      </c>
      <c r="E209" s="369">
        <v>0.84499999999999997</v>
      </c>
      <c r="F209" s="369">
        <v>1.4144000000000001</v>
      </c>
      <c r="G209" s="369">
        <v>17.580000000000002</v>
      </c>
      <c r="H209" s="369">
        <v>30.470000000000002</v>
      </c>
      <c r="I209" s="369">
        <v>0.86839999999999995</v>
      </c>
      <c r="J209" s="369">
        <v>3.9800000000000004</v>
      </c>
      <c r="K209" s="369">
        <v>1.3517090909090907</v>
      </c>
      <c r="L209" s="369">
        <v>1.7074227272727271</v>
      </c>
      <c r="M209" s="369">
        <v>0.85477272727272724</v>
      </c>
      <c r="N209" s="369">
        <v>1.4135863636363639</v>
      </c>
      <c r="O209" s="369">
        <v>17.393636363636364</v>
      </c>
      <c r="P209" s="369">
        <v>30.294999999999998</v>
      </c>
      <c r="Q209" s="369">
        <v>0.87751818181818197</v>
      </c>
      <c r="R209" s="369">
        <v>3.9568181818181816</v>
      </c>
    </row>
    <row r="210" spans="1:18" ht="15.75" customHeight="1">
      <c r="A210" s="471">
        <v>2025</v>
      </c>
      <c r="B210" s="454" t="s">
        <v>105</v>
      </c>
      <c r="C210" s="371">
        <v>1.3568</v>
      </c>
      <c r="D210" s="371">
        <v>1.6826000000000001</v>
      </c>
      <c r="E210" s="371">
        <v>0.84279999999999999</v>
      </c>
      <c r="F210" s="371">
        <v>1.4055</v>
      </c>
      <c r="G210" s="371">
        <v>17.41</v>
      </c>
      <c r="H210" s="371">
        <v>30.43</v>
      </c>
      <c r="I210" s="371">
        <v>0.874</v>
      </c>
      <c r="J210" s="371">
        <v>4.0199999999999996</v>
      </c>
      <c r="K210" s="371">
        <v>1.3606863636363637</v>
      </c>
      <c r="L210" s="371">
        <v>1.6808636363636362</v>
      </c>
      <c r="M210" s="371">
        <v>0.84774545454545458</v>
      </c>
      <c r="N210" s="371">
        <v>1.408986363636364</v>
      </c>
      <c r="O210" s="371">
        <v>17.48</v>
      </c>
      <c r="P210" s="371">
        <v>30.470909090909089</v>
      </c>
      <c r="Q210" s="371">
        <v>0.86954999999999982</v>
      </c>
      <c r="R210" s="371">
        <v>3.9763636363636361</v>
      </c>
    </row>
    <row r="211" spans="1:18" ht="15.75" customHeight="1">
      <c r="A211" s="472"/>
      <c r="B211" s="455" t="s">
        <v>106</v>
      </c>
      <c r="C211" s="367">
        <v>1.3513999999999999</v>
      </c>
      <c r="D211" s="367">
        <v>1.6999</v>
      </c>
      <c r="E211" s="367">
        <v>0.83899999999999997</v>
      </c>
      <c r="F211" s="367">
        <v>1.4011</v>
      </c>
      <c r="G211" s="367">
        <v>17.380000000000003</v>
      </c>
      <c r="H211" s="367">
        <v>30.29</v>
      </c>
      <c r="I211" s="367">
        <v>0.89739999999999998</v>
      </c>
      <c r="J211" s="367">
        <v>3.95</v>
      </c>
      <c r="K211" s="367">
        <v>1.3461450000000001</v>
      </c>
      <c r="L211" s="367">
        <v>1.6889400000000001</v>
      </c>
      <c r="M211" s="367">
        <v>0.84867500000000007</v>
      </c>
      <c r="N211" s="367">
        <v>1.4021149999999998</v>
      </c>
      <c r="O211" s="367">
        <v>17.298999999999999</v>
      </c>
      <c r="P211" s="367">
        <v>30.312499999999996</v>
      </c>
      <c r="Q211" s="367">
        <v>0.88834500000000016</v>
      </c>
      <c r="R211" s="367">
        <v>3.9870000000000001</v>
      </c>
    </row>
    <row r="212" spans="1:18" ht="15.75" customHeight="1">
      <c r="A212" s="472"/>
      <c r="B212" s="455" t="s">
        <v>107</v>
      </c>
      <c r="C212" s="367">
        <v>1.343</v>
      </c>
      <c r="D212" s="367">
        <v>1.7350000000000001</v>
      </c>
      <c r="E212" s="367">
        <v>0.83899999999999997</v>
      </c>
      <c r="F212" s="367">
        <v>1.452</v>
      </c>
      <c r="G212" s="367">
        <v>17.260000000000002</v>
      </c>
      <c r="H212" s="367">
        <v>30.23</v>
      </c>
      <c r="I212" s="367">
        <v>0.89500000000000002</v>
      </c>
      <c r="J212" s="367">
        <v>3.96</v>
      </c>
      <c r="K212" s="367">
        <v>1.3360000000000001</v>
      </c>
      <c r="L212" s="367">
        <v>1.726</v>
      </c>
      <c r="M212" s="367">
        <v>0.84199999999999997</v>
      </c>
      <c r="N212" s="367">
        <v>1.444</v>
      </c>
      <c r="O212" s="367">
        <v>17.186</v>
      </c>
      <c r="P212" s="367">
        <v>30.123999999999999</v>
      </c>
      <c r="Q212" s="367">
        <v>0.89600000000000002</v>
      </c>
      <c r="R212" s="367">
        <v>3.9550000000000001</v>
      </c>
    </row>
    <row r="213" spans="1:18" ht="15.75" customHeight="1">
      <c r="A213" s="472"/>
      <c r="B213" s="455" t="s">
        <v>108</v>
      </c>
      <c r="C213" s="367">
        <v>1.3063</v>
      </c>
      <c r="D213" s="367">
        <v>1.7416</v>
      </c>
      <c r="E213" s="367">
        <v>0.83660000000000001</v>
      </c>
      <c r="F213" s="367">
        <v>1.4799</v>
      </c>
      <c r="G213" s="367">
        <v>16.86</v>
      </c>
      <c r="H213" s="367">
        <v>30.270000000000003</v>
      </c>
      <c r="I213" s="367">
        <v>0.91369999999999996</v>
      </c>
      <c r="J213" s="367">
        <v>3.91</v>
      </c>
      <c r="K213" s="367">
        <v>1.3234227272727273</v>
      </c>
      <c r="L213" s="367">
        <v>1.740031818181818</v>
      </c>
      <c r="M213" s="367">
        <v>0.83316363636363633</v>
      </c>
      <c r="N213" s="367">
        <v>1.4849363636363635</v>
      </c>
      <c r="O213" s="367">
        <v>17.049090909090907</v>
      </c>
      <c r="P213" s="367">
        <v>29.987272727272728</v>
      </c>
      <c r="Q213" s="367">
        <v>0.91742272727272745</v>
      </c>
      <c r="R213" s="367">
        <v>3.9227272727272728</v>
      </c>
    </row>
    <row r="214" spans="1:18" ht="15.75" customHeight="1">
      <c r="A214" s="472"/>
      <c r="B214" s="455" t="s">
        <v>109</v>
      </c>
      <c r="C214" s="367">
        <v>1.2909999999999999</v>
      </c>
      <c r="D214" s="367">
        <v>1.7369000000000001</v>
      </c>
      <c r="E214" s="367">
        <v>0.83030000000000004</v>
      </c>
      <c r="F214" s="367">
        <v>1.4648000000000001</v>
      </c>
      <c r="G214" s="367">
        <v>16.46</v>
      </c>
      <c r="H214" s="367">
        <v>30.29</v>
      </c>
      <c r="I214" s="367">
        <v>0.89610000000000001</v>
      </c>
      <c r="J214" s="367">
        <v>3.93</v>
      </c>
      <c r="K214" s="367">
        <v>1.2948681818181818</v>
      </c>
      <c r="L214" s="367">
        <v>1.7303090909090906</v>
      </c>
      <c r="M214" s="367">
        <v>0.83323636363636355</v>
      </c>
      <c r="N214" s="367">
        <v>1.4595409090909088</v>
      </c>
      <c r="O214" s="367">
        <v>16.596363636363638</v>
      </c>
      <c r="P214" s="367">
        <v>30.347727272727269</v>
      </c>
      <c r="Q214" s="367">
        <v>0.89429999999999987</v>
      </c>
      <c r="R214" s="367">
        <v>3.9286363636363641</v>
      </c>
    </row>
    <row r="215" spans="1:18" ht="15.75" customHeight="1">
      <c r="A215" s="472"/>
      <c r="B215" s="455" t="s">
        <v>110</v>
      </c>
      <c r="C215" s="367">
        <v>1.2716000000000001</v>
      </c>
      <c r="D215" s="367">
        <v>1.7463</v>
      </c>
      <c r="E215" s="367">
        <v>0.83679999999999999</v>
      </c>
      <c r="F215" s="367">
        <v>1.4988999999999999</v>
      </c>
      <c r="G215" s="367">
        <v>16.2</v>
      </c>
      <c r="H215" s="367">
        <v>30.3</v>
      </c>
      <c r="I215" s="367">
        <v>0.88290000000000002</v>
      </c>
      <c r="J215" s="367">
        <v>3.92</v>
      </c>
      <c r="K215" s="367">
        <v>1.2831428571428571</v>
      </c>
      <c r="L215" s="367">
        <v>1.7403333333333333</v>
      </c>
      <c r="M215" s="367">
        <v>0.83447142857142864</v>
      </c>
      <c r="N215" s="367">
        <v>1.4792428571428573</v>
      </c>
      <c r="O215" s="367">
        <v>16.351428571428571</v>
      </c>
      <c r="P215" s="367">
        <v>30.254285714285718</v>
      </c>
      <c r="Q215" s="367">
        <v>0.88771428571428568</v>
      </c>
      <c r="R215" s="367">
        <v>3.938095238095237</v>
      </c>
    </row>
    <row r="216" spans="1:18" ht="15.75" customHeight="1">
      <c r="A216" s="472"/>
      <c r="B216" s="455" t="s">
        <v>117</v>
      </c>
      <c r="C216" s="367">
        <v>1.2981</v>
      </c>
      <c r="D216" s="367">
        <v>1.7143999999999999</v>
      </c>
      <c r="E216" s="367">
        <v>0.83399999999999996</v>
      </c>
      <c r="F216" s="367">
        <v>1.4815</v>
      </c>
      <c r="G216" s="367">
        <v>16.54</v>
      </c>
      <c r="H216" s="367">
        <v>30.4</v>
      </c>
      <c r="I216" s="367">
        <v>0.86099999999999999</v>
      </c>
      <c r="J216" s="367">
        <v>3.9699999999999998</v>
      </c>
      <c r="K216" s="367">
        <v>1.2817304347826086</v>
      </c>
      <c r="L216" s="367">
        <v>1.7291826086956519</v>
      </c>
      <c r="M216" s="367">
        <v>0.83776956521739143</v>
      </c>
      <c r="N216" s="367">
        <v>1.4959739130434784</v>
      </c>
      <c r="O216" s="367">
        <v>16.331304347826087</v>
      </c>
      <c r="P216" s="367">
        <v>30.251304347826093</v>
      </c>
      <c r="Q216" s="367">
        <v>0.87140000000000006</v>
      </c>
      <c r="R216" s="367">
        <v>3.9526086956521738</v>
      </c>
    </row>
    <row r="217" spans="1:18" ht="15.75" customHeight="1">
      <c r="A217" s="472"/>
      <c r="B217" s="455" t="s">
        <v>112</v>
      </c>
      <c r="C217" s="367">
        <v>1.284</v>
      </c>
      <c r="D217" s="367">
        <v>1.7338</v>
      </c>
      <c r="E217" s="367">
        <v>0.8397</v>
      </c>
      <c r="F217" s="367">
        <v>1.4994000000000001</v>
      </c>
      <c r="G217" s="367">
        <v>16.470000000000002</v>
      </c>
      <c r="H217" s="367">
        <v>30.37</v>
      </c>
      <c r="I217" s="367">
        <v>0.87309999999999999</v>
      </c>
      <c r="J217" s="367">
        <v>3.9699999999999998</v>
      </c>
      <c r="K217" s="367">
        <v>1.2850619047619047</v>
      </c>
      <c r="L217" s="367">
        <v>1.7288428571428571</v>
      </c>
      <c r="M217" s="367">
        <v>0.83464285714285735</v>
      </c>
      <c r="N217" s="367">
        <v>1.4964952380952381</v>
      </c>
      <c r="O217" s="367">
        <v>16.421428571428574</v>
      </c>
      <c r="P217" s="367">
        <v>30.411428571428573</v>
      </c>
      <c r="Q217" s="367">
        <v>0.87119047619047629</v>
      </c>
      <c r="R217" s="367">
        <v>3.9666666666666668</v>
      </c>
    </row>
    <row r="218" spans="1:18" ht="15.75" customHeight="1">
      <c r="A218" s="473"/>
      <c r="B218" s="456" t="s">
        <v>113</v>
      </c>
      <c r="C218" s="369">
        <v>1.2901</v>
      </c>
      <c r="D218" s="369">
        <v>1.7343</v>
      </c>
      <c r="E218" s="369">
        <v>0.85319999999999996</v>
      </c>
      <c r="F218" s="369">
        <v>1.5136000000000001</v>
      </c>
      <c r="G218" s="369">
        <v>16.580000000000002</v>
      </c>
      <c r="H218" s="369">
        <v>30.659999999999997</v>
      </c>
      <c r="I218" s="369">
        <v>0.872</v>
      </c>
      <c r="J218" s="369">
        <v>3.9800000000000004</v>
      </c>
      <c r="K218" s="369">
        <v>1.2849363636363635</v>
      </c>
      <c r="L218" s="369">
        <v>1.7349727272727271</v>
      </c>
      <c r="M218" s="369">
        <v>0.8472772727272726</v>
      </c>
      <c r="N218" s="369">
        <v>1.5074590909090908</v>
      </c>
      <c r="O218" s="369">
        <v>16.504090909090905</v>
      </c>
      <c r="P218" s="369">
        <v>30.507272727272721</v>
      </c>
      <c r="Q218" s="369">
        <v>0.86877727272727268</v>
      </c>
      <c r="R218" s="369">
        <v>4.0190909090909095</v>
      </c>
    </row>
    <row r="219" spans="1:18" ht="15.75" customHeight="1">
      <c r="A219" s="67"/>
      <c r="B219" s="67"/>
      <c r="C219" s="645"/>
      <c r="D219" s="645"/>
      <c r="E219" s="645"/>
      <c r="F219" s="645"/>
      <c r="G219" s="646"/>
      <c r="H219" s="645"/>
      <c r="I219" s="645"/>
      <c r="J219" s="645"/>
      <c r="K219" s="645"/>
      <c r="L219" s="645"/>
      <c r="M219" s="645"/>
      <c r="N219" s="645"/>
      <c r="O219" s="646"/>
      <c r="P219" s="646"/>
      <c r="Q219" s="645"/>
      <c r="R219" s="645"/>
    </row>
    <row r="220" spans="1:18">
      <c r="A220" s="887" t="s">
        <v>401</v>
      </c>
      <c r="B220" s="887"/>
      <c r="C220" s="887"/>
      <c r="D220" s="887"/>
      <c r="E220" s="887"/>
      <c r="G220" s="74"/>
      <c r="H220" s="74"/>
      <c r="K220" s="74"/>
      <c r="L220" s="74"/>
      <c r="M220" s="74"/>
      <c r="N220" s="74"/>
      <c r="O220" s="74"/>
      <c r="P220" s="74"/>
      <c r="Q220" s="74"/>
      <c r="R220" s="74"/>
    </row>
    <row r="221" spans="1:18">
      <c r="A221" s="647" t="s">
        <v>168</v>
      </c>
      <c r="B221" s="176"/>
      <c r="C221" s="176"/>
      <c r="D221" s="176"/>
      <c r="E221" s="176"/>
    </row>
  </sheetData>
  <sheetProtection formatCells="0" insertColumns="0" insertRows="0" deleteColumns="0" deleteRows="0"/>
  <mergeCells count="9">
    <mergeCell ref="A1:J1"/>
    <mergeCell ref="A220:E220"/>
    <mergeCell ref="K3:N3"/>
    <mergeCell ref="O3:R3"/>
    <mergeCell ref="K5:R5"/>
    <mergeCell ref="A3:B5"/>
    <mergeCell ref="C3:F3"/>
    <mergeCell ref="C5:J5"/>
    <mergeCell ref="G3:J3"/>
  </mergeCells>
  <printOptions horizontalCentered="1"/>
  <pageMargins left="0.43" right="0.31"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J17"/>
  <sheetViews>
    <sheetView zoomScaleNormal="100" workbookViewId="0">
      <pane xSplit="1" ySplit="3" topLeftCell="BZ4" activePane="bottomRight" state="frozen"/>
      <selection pane="topRight" activeCell="B1" sqref="B1"/>
      <selection pane="bottomLeft" activeCell="A4" sqref="A4"/>
      <selection pane="bottomRight" activeCell="CC6" sqref="CC6"/>
    </sheetView>
  </sheetViews>
  <sheetFormatPr defaultColWidth="9.1796875" defaultRowHeight="13"/>
  <cols>
    <col min="1" max="1" width="30.81640625" style="65" customWidth="1"/>
    <col min="2" max="67" width="11.54296875" style="65" customWidth="1"/>
    <col min="68" max="68" width="11.81640625" style="65" customWidth="1"/>
    <col min="69" max="69" width="12.453125" style="65" customWidth="1"/>
    <col min="70" max="70" width="12.1796875" style="65" customWidth="1"/>
    <col min="71" max="71" width="12.453125" style="65" customWidth="1"/>
    <col min="72" max="72" width="12.1796875" style="65" customWidth="1"/>
    <col min="73" max="80" width="12.54296875" style="65" customWidth="1"/>
    <col min="81" max="83" width="12" style="65" customWidth="1"/>
    <col min="84" max="85" width="11.81640625" style="65" customWidth="1"/>
    <col min="86" max="86" width="12.36328125" style="65" customWidth="1"/>
    <col min="87" max="87" width="12.54296875" style="65" customWidth="1"/>
    <col min="88" max="16384" width="9.1796875" style="65"/>
  </cols>
  <sheetData>
    <row r="1" spans="1:88" ht="26.15" customHeight="1">
      <c r="A1" s="889" t="s">
        <v>402</v>
      </c>
      <c r="B1" s="889"/>
      <c r="C1" s="889"/>
      <c r="D1" s="889"/>
      <c r="E1" s="889"/>
      <c r="F1" s="889"/>
      <c r="G1" s="889"/>
      <c r="H1" s="889"/>
      <c r="I1" s="889"/>
      <c r="J1" s="889"/>
      <c r="K1" s="889"/>
      <c r="L1" s="889"/>
      <c r="M1" s="889"/>
      <c r="N1" s="889"/>
      <c r="O1" s="889"/>
      <c r="P1" s="889"/>
      <c r="Q1" s="889"/>
      <c r="R1" s="889"/>
      <c r="S1" s="889"/>
      <c r="T1" s="889"/>
      <c r="U1" s="889"/>
      <c r="V1" s="889"/>
      <c r="W1" s="889"/>
      <c r="X1" s="889"/>
      <c r="Y1" s="889"/>
      <c r="Z1" s="889"/>
      <c r="AA1" s="889"/>
      <c r="AB1" s="889"/>
      <c r="AC1" s="889"/>
      <c r="AD1" s="889"/>
      <c r="AE1" s="889"/>
      <c r="AF1" s="889"/>
      <c r="AG1" s="889"/>
      <c r="AH1" s="889"/>
      <c r="AI1" s="889"/>
      <c r="AJ1" s="889"/>
      <c r="AK1" s="889"/>
      <c r="AL1" s="889"/>
      <c r="AM1" s="889"/>
      <c r="AN1" s="889"/>
      <c r="AO1" s="889"/>
      <c r="AP1" s="889"/>
      <c r="AQ1" s="889"/>
      <c r="AR1" s="889"/>
      <c r="AS1" s="889"/>
      <c r="AT1" s="889"/>
      <c r="AU1" s="889"/>
      <c r="AV1" s="889"/>
      <c r="AW1" s="889"/>
      <c r="AX1" s="889"/>
      <c r="AY1" s="626"/>
      <c r="AZ1" s="626"/>
      <c r="BA1" s="626"/>
      <c r="BB1" s="626"/>
      <c r="BC1" s="626"/>
      <c r="BD1" s="626"/>
      <c r="BE1" s="626"/>
      <c r="BF1" s="626"/>
      <c r="BG1" s="626"/>
      <c r="BH1" s="626"/>
      <c r="BI1" s="626"/>
    </row>
    <row r="2" spans="1:88">
      <c r="V2" s="564"/>
    </row>
    <row r="3" spans="1:88" s="66" customFormat="1" ht="23.25" customHeight="1">
      <c r="A3" s="477" t="s">
        <v>403</v>
      </c>
      <c r="B3" s="652">
        <v>43363</v>
      </c>
      <c r="C3" s="652">
        <v>43391</v>
      </c>
      <c r="D3" s="652">
        <v>43419</v>
      </c>
      <c r="E3" s="652">
        <v>43454</v>
      </c>
      <c r="F3" s="652">
        <v>43482</v>
      </c>
      <c r="G3" s="652">
        <v>43517</v>
      </c>
      <c r="H3" s="652">
        <v>43545</v>
      </c>
      <c r="I3" s="652">
        <v>43573</v>
      </c>
      <c r="J3" s="652">
        <v>43601</v>
      </c>
      <c r="K3" s="652">
        <v>43636</v>
      </c>
      <c r="L3" s="652">
        <v>43664</v>
      </c>
      <c r="M3" s="652">
        <v>43692</v>
      </c>
      <c r="N3" s="652">
        <v>43727</v>
      </c>
      <c r="O3" s="652">
        <v>43755</v>
      </c>
      <c r="P3" s="652">
        <v>43790</v>
      </c>
      <c r="Q3" s="652">
        <v>43818</v>
      </c>
      <c r="R3" s="652">
        <v>43846</v>
      </c>
      <c r="S3" s="652">
        <v>43881</v>
      </c>
      <c r="T3" s="652">
        <v>43901</v>
      </c>
      <c r="U3" s="652">
        <v>43937</v>
      </c>
      <c r="V3" s="652">
        <v>43972</v>
      </c>
      <c r="W3" s="652">
        <v>44000</v>
      </c>
      <c r="X3" s="652">
        <v>44028</v>
      </c>
      <c r="Y3" s="652">
        <v>44063</v>
      </c>
      <c r="Z3" s="652">
        <v>44091</v>
      </c>
      <c r="AA3" s="652">
        <v>44119</v>
      </c>
      <c r="AB3" s="652">
        <v>44154</v>
      </c>
      <c r="AC3" s="653">
        <v>44182</v>
      </c>
      <c r="AD3" s="653">
        <v>44217</v>
      </c>
      <c r="AE3" s="653">
        <v>44245</v>
      </c>
      <c r="AF3" s="653">
        <v>44273</v>
      </c>
      <c r="AG3" s="653">
        <v>44301</v>
      </c>
      <c r="AH3" s="653">
        <v>44336</v>
      </c>
      <c r="AI3" s="653">
        <v>44364</v>
      </c>
      <c r="AJ3" s="653">
        <v>44392</v>
      </c>
      <c r="AK3" s="653">
        <v>44427</v>
      </c>
      <c r="AL3" s="653">
        <v>44455</v>
      </c>
      <c r="AM3" s="653">
        <v>44490</v>
      </c>
      <c r="AN3" s="653">
        <v>44518</v>
      </c>
      <c r="AO3" s="653">
        <v>44546</v>
      </c>
      <c r="AP3" s="653">
        <v>44581</v>
      </c>
      <c r="AQ3" s="653">
        <v>44609</v>
      </c>
      <c r="AR3" s="653">
        <v>44637</v>
      </c>
      <c r="AS3" s="653">
        <v>44672</v>
      </c>
      <c r="AT3" s="653">
        <v>44700</v>
      </c>
      <c r="AU3" s="653">
        <v>44728</v>
      </c>
      <c r="AV3" s="653">
        <v>44763</v>
      </c>
      <c r="AW3" s="653">
        <v>44791</v>
      </c>
      <c r="AX3" s="653">
        <v>44819</v>
      </c>
      <c r="AY3" s="653">
        <v>44854</v>
      </c>
      <c r="AZ3" s="653">
        <v>44882</v>
      </c>
      <c r="BA3" s="653">
        <v>44910</v>
      </c>
      <c r="BB3" s="653">
        <v>44945</v>
      </c>
      <c r="BC3" s="653">
        <v>44973</v>
      </c>
      <c r="BD3" s="653">
        <v>45001</v>
      </c>
      <c r="BE3" s="653">
        <v>45036</v>
      </c>
      <c r="BF3" s="653">
        <v>45064</v>
      </c>
      <c r="BG3" s="653">
        <v>45092</v>
      </c>
      <c r="BH3" s="653">
        <v>45127</v>
      </c>
      <c r="BI3" s="653">
        <v>45155</v>
      </c>
      <c r="BJ3" s="653">
        <v>45190</v>
      </c>
      <c r="BK3" s="653">
        <v>45218</v>
      </c>
      <c r="BL3" s="653">
        <v>45246</v>
      </c>
      <c r="BM3" s="653">
        <v>45281</v>
      </c>
      <c r="BN3" s="653">
        <v>45309</v>
      </c>
      <c r="BO3" s="653">
        <v>45309</v>
      </c>
      <c r="BP3" s="653">
        <v>45337</v>
      </c>
      <c r="BQ3" s="653">
        <v>45372</v>
      </c>
      <c r="BR3" s="653">
        <v>45400</v>
      </c>
      <c r="BS3" s="654">
        <v>45428</v>
      </c>
      <c r="BT3" s="654">
        <v>45463</v>
      </c>
      <c r="BU3" s="654">
        <v>45491</v>
      </c>
      <c r="BV3" s="653">
        <v>45519</v>
      </c>
      <c r="BW3" s="653">
        <v>45554</v>
      </c>
      <c r="BX3" s="653">
        <v>45582</v>
      </c>
      <c r="BY3" s="653">
        <v>45617</v>
      </c>
      <c r="BZ3" s="653">
        <v>45645</v>
      </c>
      <c r="CA3" s="653">
        <v>45673</v>
      </c>
      <c r="CB3" s="653">
        <v>45708</v>
      </c>
      <c r="CC3" s="653">
        <v>45736</v>
      </c>
      <c r="CD3" s="653">
        <v>45764</v>
      </c>
      <c r="CE3" s="653">
        <v>45792</v>
      </c>
      <c r="CF3" s="653">
        <v>45827</v>
      </c>
      <c r="CG3" s="653">
        <v>45855</v>
      </c>
      <c r="CH3" s="698">
        <v>45890</v>
      </c>
      <c r="CI3" s="698">
        <v>45918</v>
      </c>
      <c r="CJ3" s="698">
        <v>45946</v>
      </c>
    </row>
    <row r="4" spans="1:88" s="121" customFormat="1" ht="14.5">
      <c r="A4" s="566"/>
      <c r="B4" s="655"/>
      <c r="C4" s="655"/>
      <c r="D4" s="655"/>
      <c r="E4" s="655"/>
      <c r="F4" s="655"/>
      <c r="G4" s="655"/>
      <c r="H4" s="655"/>
      <c r="I4" s="655"/>
      <c r="J4" s="655"/>
      <c r="K4" s="655"/>
      <c r="L4" s="655"/>
      <c r="M4" s="655"/>
      <c r="N4" s="656"/>
      <c r="O4" s="656"/>
      <c r="P4" s="656"/>
      <c r="Q4" s="656"/>
      <c r="R4" s="656"/>
      <c r="S4" s="656"/>
      <c r="T4" s="655"/>
      <c r="U4" s="656"/>
      <c r="V4" s="656"/>
      <c r="W4" s="656"/>
      <c r="X4" s="656"/>
      <c r="Y4" s="655"/>
      <c r="Z4" s="655"/>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656"/>
      <c r="BD4" s="656"/>
      <c r="BE4" s="656"/>
      <c r="BF4" s="656"/>
      <c r="BG4" s="656"/>
      <c r="BH4" s="656"/>
      <c r="BI4" s="656"/>
      <c r="BJ4" s="656"/>
      <c r="BK4" s="656"/>
      <c r="BL4" s="656"/>
      <c r="BM4" s="656"/>
      <c r="BN4" s="656"/>
      <c r="BO4" s="656"/>
      <c r="BP4" s="656"/>
      <c r="BQ4" s="656"/>
      <c r="BR4" s="656"/>
      <c r="BS4" s="657"/>
      <c r="BT4" s="657"/>
      <c r="BU4" s="657"/>
      <c r="BV4" s="656"/>
      <c r="BW4" s="656"/>
      <c r="BX4" s="656"/>
      <c r="BY4" s="656"/>
      <c r="BZ4" s="656"/>
      <c r="CA4" s="656"/>
      <c r="CB4" s="656"/>
      <c r="CC4" s="656"/>
      <c r="CD4" s="656"/>
      <c r="CE4" s="656"/>
      <c r="CF4" s="656"/>
      <c r="CG4" s="656"/>
      <c r="CH4" s="699"/>
      <c r="CI4" s="699"/>
      <c r="CJ4" s="699"/>
    </row>
    <row r="5" spans="1:88" s="121" customFormat="1" ht="14.5">
      <c r="A5" s="541" t="s">
        <v>404</v>
      </c>
      <c r="B5" s="153">
        <v>0.5</v>
      </c>
      <c r="C5" s="153">
        <v>0.5</v>
      </c>
      <c r="D5" s="153">
        <v>0.75</v>
      </c>
      <c r="E5" s="153">
        <v>0.75</v>
      </c>
      <c r="F5" s="153">
        <v>0.75</v>
      </c>
      <c r="G5" s="153">
        <v>0.75</v>
      </c>
      <c r="H5" s="153">
        <v>0.75</v>
      </c>
      <c r="I5" s="153">
        <v>0.75</v>
      </c>
      <c r="J5" s="153">
        <v>0.75</v>
      </c>
      <c r="K5" s="153">
        <v>0.75</v>
      </c>
      <c r="L5" s="153">
        <v>0.75</v>
      </c>
      <c r="M5" s="153">
        <v>0.75</v>
      </c>
      <c r="N5" s="656">
        <v>0.75</v>
      </c>
      <c r="O5" s="656">
        <v>0.75</v>
      </c>
      <c r="P5" s="656">
        <v>0.75</v>
      </c>
      <c r="Q5" s="656">
        <v>0.75</v>
      </c>
      <c r="R5" s="656">
        <v>0.75</v>
      </c>
      <c r="S5" s="656">
        <v>0.75</v>
      </c>
      <c r="T5" s="656">
        <v>0.25</v>
      </c>
      <c r="U5" s="656">
        <v>0.25</v>
      </c>
      <c r="V5" s="656">
        <v>0.125</v>
      </c>
      <c r="W5" s="656">
        <v>0.125</v>
      </c>
      <c r="X5" s="153">
        <v>0</v>
      </c>
      <c r="Y5" s="153">
        <v>0</v>
      </c>
      <c r="Z5" s="153">
        <v>0</v>
      </c>
      <c r="AA5" s="153">
        <v>0</v>
      </c>
      <c r="AB5" s="153">
        <v>0</v>
      </c>
      <c r="AC5" s="153">
        <v>0</v>
      </c>
      <c r="AD5" s="153">
        <v>0</v>
      </c>
      <c r="AE5" s="153">
        <v>0</v>
      </c>
      <c r="AF5" s="153">
        <v>0</v>
      </c>
      <c r="AG5" s="153">
        <v>0</v>
      </c>
      <c r="AH5" s="153">
        <v>0</v>
      </c>
      <c r="AI5" s="153">
        <v>0</v>
      </c>
      <c r="AJ5" s="153">
        <v>0</v>
      </c>
      <c r="AK5" s="153">
        <v>0</v>
      </c>
      <c r="AL5" s="153">
        <v>0</v>
      </c>
      <c r="AM5" s="153">
        <v>0</v>
      </c>
      <c r="AN5" s="153">
        <v>0</v>
      </c>
      <c r="AO5" s="153">
        <v>0</v>
      </c>
      <c r="AP5" s="153">
        <v>0</v>
      </c>
      <c r="AQ5" s="153">
        <v>0</v>
      </c>
      <c r="AR5" s="153">
        <v>0</v>
      </c>
      <c r="AS5" s="153">
        <v>0.125</v>
      </c>
      <c r="AT5" s="153">
        <v>0.125</v>
      </c>
      <c r="AU5" s="153">
        <v>0.25</v>
      </c>
      <c r="AV5" s="153">
        <v>0.75</v>
      </c>
      <c r="AW5" s="153">
        <v>0.75</v>
      </c>
      <c r="AX5" s="153">
        <v>1.5</v>
      </c>
      <c r="AY5" s="153">
        <v>1.5</v>
      </c>
      <c r="AZ5" s="153">
        <v>1.5</v>
      </c>
      <c r="BA5" s="153">
        <v>1.5</v>
      </c>
      <c r="BB5" s="153">
        <v>1.5</v>
      </c>
      <c r="BC5" s="153">
        <v>1.5</v>
      </c>
      <c r="BD5" s="153">
        <v>1.5</v>
      </c>
      <c r="BE5" s="153">
        <v>1.5</v>
      </c>
      <c r="BF5" s="153">
        <v>1.5</v>
      </c>
      <c r="BG5" s="153">
        <v>1.5</v>
      </c>
      <c r="BH5" s="153">
        <v>1.5</v>
      </c>
      <c r="BI5" s="153">
        <v>1.5</v>
      </c>
      <c r="BJ5" s="153">
        <v>1.5</v>
      </c>
      <c r="BK5" s="153">
        <v>1.5</v>
      </c>
      <c r="BL5" s="153">
        <v>1.5</v>
      </c>
      <c r="BM5" s="153">
        <v>1.5</v>
      </c>
      <c r="BN5" s="153">
        <v>1.5</v>
      </c>
      <c r="BO5" s="153">
        <v>1.5</v>
      </c>
      <c r="BP5" s="153">
        <v>1.5</v>
      </c>
      <c r="BQ5" s="153">
        <v>1.5</v>
      </c>
      <c r="BR5" s="153">
        <v>2</v>
      </c>
      <c r="BS5" s="141">
        <v>2.5</v>
      </c>
      <c r="BT5" s="141">
        <v>3</v>
      </c>
      <c r="BU5" s="141">
        <v>3</v>
      </c>
      <c r="BV5" s="153">
        <v>3</v>
      </c>
      <c r="BW5" s="153">
        <v>2.75</v>
      </c>
      <c r="BX5" s="153">
        <v>2.75</v>
      </c>
      <c r="BY5" s="153">
        <v>2.5</v>
      </c>
      <c r="BZ5" s="153">
        <v>2.25</v>
      </c>
      <c r="CA5" s="153">
        <v>2.25</v>
      </c>
      <c r="CB5" s="153">
        <v>2.25</v>
      </c>
      <c r="CC5" s="153">
        <v>2.25</v>
      </c>
      <c r="CD5" s="153">
        <v>2</v>
      </c>
      <c r="CE5" s="153">
        <v>2</v>
      </c>
      <c r="CF5" s="153">
        <v>1.5</v>
      </c>
      <c r="CG5" s="153">
        <v>1</v>
      </c>
      <c r="CH5" s="700">
        <v>1</v>
      </c>
      <c r="CI5" s="700">
        <v>0.75</v>
      </c>
      <c r="CJ5" s="700">
        <v>0.75</v>
      </c>
    </row>
    <row r="6" spans="1:88" s="121" customFormat="1" ht="14.5">
      <c r="A6" s="541"/>
      <c r="B6" s="153"/>
      <c r="C6" s="153"/>
      <c r="D6" s="153"/>
      <c r="E6" s="153"/>
      <c r="F6" s="153"/>
      <c r="G6" s="153"/>
      <c r="H6" s="153"/>
      <c r="I6" s="153"/>
      <c r="J6" s="153"/>
      <c r="K6" s="153"/>
      <c r="L6" s="153"/>
      <c r="M6" s="153"/>
      <c r="N6" s="656"/>
      <c r="O6" s="656"/>
      <c r="P6" s="656"/>
      <c r="Q6" s="656"/>
      <c r="R6" s="656"/>
      <c r="S6" s="656"/>
      <c r="T6" s="656"/>
      <c r="U6" s="656"/>
      <c r="V6" s="656"/>
      <c r="W6" s="656"/>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657"/>
      <c r="BT6" s="657"/>
      <c r="BU6" s="657"/>
      <c r="BV6" s="153"/>
      <c r="BW6" s="153"/>
      <c r="BX6" s="153"/>
      <c r="BY6" s="153"/>
      <c r="BZ6" s="153"/>
      <c r="CA6" s="153"/>
      <c r="CB6" s="153"/>
      <c r="CC6" s="153"/>
      <c r="CD6" s="153"/>
      <c r="CE6" s="153"/>
      <c r="CF6" s="153"/>
      <c r="CG6" s="153"/>
      <c r="CH6" s="700"/>
      <c r="CI6" s="700"/>
      <c r="CJ6" s="700"/>
    </row>
    <row r="7" spans="1:88" s="121" customFormat="1" ht="14.5">
      <c r="A7" s="541" t="s">
        <v>405</v>
      </c>
      <c r="B7" s="153">
        <v>1.5</v>
      </c>
      <c r="C7" s="153">
        <v>1.5</v>
      </c>
      <c r="D7" s="153">
        <v>1.75</v>
      </c>
      <c r="E7" s="153">
        <v>1.75</v>
      </c>
      <c r="F7" s="153">
        <v>1.75</v>
      </c>
      <c r="G7" s="153">
        <v>1.75</v>
      </c>
      <c r="H7" s="153">
        <v>1.75</v>
      </c>
      <c r="I7" s="153">
        <v>1.75</v>
      </c>
      <c r="J7" s="153">
        <v>1.75</v>
      </c>
      <c r="K7" s="153">
        <v>1.75</v>
      </c>
      <c r="L7" s="153">
        <v>1.75</v>
      </c>
      <c r="M7" s="153">
        <v>1.75</v>
      </c>
      <c r="N7" s="656">
        <v>1.75</v>
      </c>
      <c r="O7" s="656">
        <v>1.75</v>
      </c>
      <c r="P7" s="656">
        <v>1.75</v>
      </c>
      <c r="Q7" s="656">
        <v>1.75</v>
      </c>
      <c r="R7" s="656">
        <v>1.75</v>
      </c>
      <c r="S7" s="656">
        <v>1.75</v>
      </c>
      <c r="T7" s="656">
        <v>1.25</v>
      </c>
      <c r="U7" s="656">
        <v>1.25</v>
      </c>
      <c r="V7" s="656">
        <v>1.125</v>
      </c>
      <c r="W7" s="656">
        <v>1.125</v>
      </c>
      <c r="X7" s="153">
        <v>1</v>
      </c>
      <c r="Y7" s="153">
        <v>1</v>
      </c>
      <c r="Z7" s="153">
        <v>1</v>
      </c>
      <c r="AA7" s="153">
        <v>1</v>
      </c>
      <c r="AB7" s="153">
        <v>1</v>
      </c>
      <c r="AC7" s="153">
        <v>1</v>
      </c>
      <c r="AD7" s="153">
        <v>1</v>
      </c>
      <c r="AE7" s="153">
        <v>1</v>
      </c>
      <c r="AF7" s="153">
        <v>1</v>
      </c>
      <c r="AG7" s="153">
        <v>1</v>
      </c>
      <c r="AH7" s="153">
        <v>1</v>
      </c>
      <c r="AI7" s="153">
        <v>1</v>
      </c>
      <c r="AJ7" s="153">
        <v>1</v>
      </c>
      <c r="AK7" s="153">
        <v>1</v>
      </c>
      <c r="AL7" s="153">
        <v>1</v>
      </c>
      <c r="AM7" s="153">
        <v>1</v>
      </c>
      <c r="AN7" s="153">
        <v>1</v>
      </c>
      <c r="AO7" s="153">
        <v>1</v>
      </c>
      <c r="AP7" s="153">
        <v>1</v>
      </c>
      <c r="AQ7" s="153">
        <v>1</v>
      </c>
      <c r="AR7" s="153">
        <v>1</v>
      </c>
      <c r="AS7" s="153">
        <v>1.125</v>
      </c>
      <c r="AT7" s="153">
        <v>1.125</v>
      </c>
      <c r="AU7" s="153">
        <v>1.25</v>
      </c>
      <c r="AV7" s="153">
        <v>1.75</v>
      </c>
      <c r="AW7" s="153">
        <v>1.75</v>
      </c>
      <c r="AX7" s="153">
        <v>2.5</v>
      </c>
      <c r="AY7" s="153">
        <v>2.5</v>
      </c>
      <c r="AZ7" s="153">
        <v>2.5</v>
      </c>
      <c r="BA7" s="153">
        <v>3</v>
      </c>
      <c r="BB7" s="153">
        <v>3</v>
      </c>
      <c r="BC7" s="153">
        <v>3.5</v>
      </c>
      <c r="BD7" s="153">
        <v>4</v>
      </c>
      <c r="BE7" s="153">
        <v>4</v>
      </c>
      <c r="BF7" s="153">
        <v>4</v>
      </c>
      <c r="BG7" s="153">
        <v>4</v>
      </c>
      <c r="BH7" s="153">
        <v>4</v>
      </c>
      <c r="BI7" s="153">
        <v>4</v>
      </c>
      <c r="BJ7" s="153">
        <v>4</v>
      </c>
      <c r="BK7" s="153">
        <v>4</v>
      </c>
      <c r="BL7" s="153">
        <v>4</v>
      </c>
      <c r="BM7" s="153">
        <v>4</v>
      </c>
      <c r="BN7" s="153">
        <v>4</v>
      </c>
      <c r="BO7" s="153">
        <v>4</v>
      </c>
      <c r="BP7" s="153">
        <v>4</v>
      </c>
      <c r="BQ7" s="153">
        <v>4</v>
      </c>
      <c r="BR7" s="153">
        <v>4</v>
      </c>
      <c r="BS7" s="141">
        <v>4</v>
      </c>
      <c r="BT7" s="141">
        <v>4</v>
      </c>
      <c r="BU7" s="141">
        <v>4</v>
      </c>
      <c r="BV7" s="153">
        <v>4</v>
      </c>
      <c r="BW7" s="153">
        <v>3.75</v>
      </c>
      <c r="BX7" s="153">
        <v>3.75</v>
      </c>
      <c r="BY7" s="153">
        <v>3.5</v>
      </c>
      <c r="BZ7" s="153">
        <v>3.25</v>
      </c>
      <c r="CA7" s="153">
        <v>3.25</v>
      </c>
      <c r="CB7" s="153">
        <v>3.25</v>
      </c>
      <c r="CC7" s="153">
        <v>3.25</v>
      </c>
      <c r="CD7" s="153">
        <v>3</v>
      </c>
      <c r="CE7" s="153">
        <v>3</v>
      </c>
      <c r="CF7" s="153">
        <v>2.5</v>
      </c>
      <c r="CG7" s="153">
        <v>2</v>
      </c>
      <c r="CH7" s="700">
        <v>2</v>
      </c>
      <c r="CI7" s="700">
        <v>1.75</v>
      </c>
      <c r="CJ7" s="700">
        <v>1.75</v>
      </c>
    </row>
    <row r="8" spans="1:88" s="121" customFormat="1" ht="14.5">
      <c r="A8" s="541"/>
      <c r="B8" s="153"/>
      <c r="C8" s="153"/>
      <c r="D8" s="153"/>
      <c r="E8" s="153"/>
      <c r="F8" s="153"/>
      <c r="G8" s="153"/>
      <c r="H8" s="153"/>
      <c r="I8" s="153"/>
      <c r="J8" s="153"/>
      <c r="K8" s="153"/>
      <c r="L8" s="153"/>
      <c r="M8" s="153"/>
      <c r="N8" s="656"/>
      <c r="O8" s="656"/>
      <c r="P8" s="656"/>
      <c r="Q8" s="656"/>
      <c r="R8" s="656"/>
      <c r="S8" s="656"/>
      <c r="T8" s="656"/>
      <c r="U8" s="656"/>
      <c r="V8" s="656"/>
      <c r="W8" s="656"/>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41"/>
      <c r="BT8" s="141"/>
      <c r="BU8" s="141"/>
      <c r="BV8" s="153"/>
      <c r="BW8" s="153"/>
      <c r="BX8" s="153"/>
      <c r="BY8" s="153"/>
      <c r="BZ8" s="153"/>
      <c r="CA8" s="153"/>
      <c r="CB8" s="153"/>
      <c r="CC8" s="153"/>
      <c r="CD8" s="153"/>
      <c r="CE8" s="153"/>
      <c r="CF8" s="153"/>
      <c r="CG8" s="153"/>
      <c r="CH8" s="700"/>
      <c r="CI8" s="700"/>
      <c r="CJ8" s="700"/>
    </row>
    <row r="9" spans="1:88" s="121" customFormat="1" ht="14.5">
      <c r="A9" s="540" t="s">
        <v>406</v>
      </c>
      <c r="B9" s="154">
        <v>1.5</v>
      </c>
      <c r="C9" s="154">
        <v>1.5</v>
      </c>
      <c r="D9" s="154">
        <v>1.75</v>
      </c>
      <c r="E9" s="154">
        <v>1.75</v>
      </c>
      <c r="F9" s="154">
        <v>1.75</v>
      </c>
      <c r="G9" s="154">
        <v>1.75</v>
      </c>
      <c r="H9" s="154">
        <v>1.75</v>
      </c>
      <c r="I9" s="154">
        <v>1.75</v>
      </c>
      <c r="J9" s="154">
        <v>1.75</v>
      </c>
      <c r="K9" s="154">
        <v>1.75</v>
      </c>
      <c r="L9" s="154">
        <v>1.75</v>
      </c>
      <c r="M9" s="154">
        <v>1.75</v>
      </c>
      <c r="N9" s="658">
        <v>1.75</v>
      </c>
      <c r="O9" s="658">
        <v>1.75</v>
      </c>
      <c r="P9" s="658">
        <v>1.75</v>
      </c>
      <c r="Q9" s="658">
        <v>1.75</v>
      </c>
      <c r="R9" s="658">
        <v>1.75</v>
      </c>
      <c r="S9" s="658">
        <v>1.75</v>
      </c>
      <c r="T9" s="658">
        <v>1.25</v>
      </c>
      <c r="U9" s="658">
        <v>1.25</v>
      </c>
      <c r="V9" s="658">
        <v>1.125</v>
      </c>
      <c r="W9" s="658">
        <v>1.125</v>
      </c>
      <c r="X9" s="154">
        <v>1</v>
      </c>
      <c r="Y9" s="154">
        <v>1</v>
      </c>
      <c r="Z9" s="154">
        <v>1</v>
      </c>
      <c r="AA9" s="154">
        <v>1</v>
      </c>
      <c r="AB9" s="154">
        <v>1</v>
      </c>
      <c r="AC9" s="154">
        <v>1</v>
      </c>
      <c r="AD9" s="154">
        <v>1</v>
      </c>
      <c r="AE9" s="154">
        <v>1</v>
      </c>
      <c r="AF9" s="154">
        <v>1</v>
      </c>
      <c r="AG9" s="154">
        <v>1</v>
      </c>
      <c r="AH9" s="154">
        <v>1</v>
      </c>
      <c r="AI9" s="154">
        <v>1</v>
      </c>
      <c r="AJ9" s="154">
        <v>1</v>
      </c>
      <c r="AK9" s="154">
        <v>1</v>
      </c>
      <c r="AL9" s="154">
        <v>1</v>
      </c>
      <c r="AM9" s="154">
        <v>1</v>
      </c>
      <c r="AN9" s="154">
        <v>1</v>
      </c>
      <c r="AO9" s="154">
        <v>1</v>
      </c>
      <c r="AP9" s="154">
        <v>1</v>
      </c>
      <c r="AQ9" s="154">
        <v>1</v>
      </c>
      <c r="AR9" s="154">
        <v>1</v>
      </c>
      <c r="AS9" s="154">
        <v>1.125</v>
      </c>
      <c r="AT9" s="154">
        <v>1.125</v>
      </c>
      <c r="AU9" s="154">
        <v>1.25</v>
      </c>
      <c r="AV9" s="154">
        <v>1.75</v>
      </c>
      <c r="AW9" s="154">
        <v>1.75</v>
      </c>
      <c r="AX9" s="154">
        <v>2.5</v>
      </c>
      <c r="AY9" s="154">
        <v>2.5</v>
      </c>
      <c r="AZ9" s="154">
        <v>2.5</v>
      </c>
      <c r="BA9" s="154">
        <v>3</v>
      </c>
      <c r="BB9" s="154">
        <v>3</v>
      </c>
      <c r="BC9" s="154">
        <v>3.5</v>
      </c>
      <c r="BD9" s="154">
        <v>4</v>
      </c>
      <c r="BE9" s="154">
        <v>4</v>
      </c>
      <c r="BF9" s="154">
        <v>4</v>
      </c>
      <c r="BG9" s="154">
        <v>4</v>
      </c>
      <c r="BH9" s="154">
        <v>4</v>
      </c>
      <c r="BI9" s="154">
        <v>4</v>
      </c>
      <c r="BJ9" s="154">
        <v>4</v>
      </c>
      <c r="BK9" s="154">
        <v>4</v>
      </c>
      <c r="BL9" s="154">
        <v>4</v>
      </c>
      <c r="BM9" s="154">
        <v>4</v>
      </c>
      <c r="BN9" s="154">
        <v>4</v>
      </c>
      <c r="BO9" s="154">
        <v>4</v>
      </c>
      <c r="BP9" s="154">
        <v>4</v>
      </c>
      <c r="BQ9" s="154">
        <v>4</v>
      </c>
      <c r="BR9" s="154">
        <v>4</v>
      </c>
      <c r="BS9" s="144">
        <v>4</v>
      </c>
      <c r="BT9" s="144">
        <v>4</v>
      </c>
      <c r="BU9" s="144">
        <v>4</v>
      </c>
      <c r="BV9" s="154">
        <v>4</v>
      </c>
      <c r="BW9" s="154">
        <v>3.75</v>
      </c>
      <c r="BX9" s="154">
        <v>3.75</v>
      </c>
      <c r="BY9" s="154">
        <v>3.5</v>
      </c>
      <c r="BZ9" s="154">
        <v>3.25</v>
      </c>
      <c r="CA9" s="154">
        <v>3.25</v>
      </c>
      <c r="CB9" s="154">
        <v>3.25</v>
      </c>
      <c r="CC9" s="154">
        <v>3.25</v>
      </c>
      <c r="CD9" s="154">
        <v>3</v>
      </c>
      <c r="CE9" s="154">
        <v>3</v>
      </c>
      <c r="CF9" s="154">
        <v>2.5</v>
      </c>
      <c r="CG9" s="154">
        <v>2</v>
      </c>
      <c r="CH9" s="701">
        <v>2</v>
      </c>
      <c r="CI9" s="701">
        <v>1.75</v>
      </c>
      <c r="CJ9" s="701">
        <v>1.75</v>
      </c>
    </row>
    <row r="10" spans="1:88" ht="14">
      <c r="BV10" s="70"/>
      <c r="BY10" s="70"/>
    </row>
    <row r="11" spans="1:88" ht="14">
      <c r="A11" s="856" t="s">
        <v>118</v>
      </c>
      <c r="B11" s="856"/>
      <c r="C11" s="856"/>
      <c r="D11" s="856"/>
      <c r="E11" s="856"/>
      <c r="F11" s="856"/>
      <c r="G11" s="856"/>
      <c r="H11" s="856"/>
      <c r="I11" s="856"/>
      <c r="J11" s="856"/>
      <c r="K11" s="856"/>
      <c r="L11" s="856"/>
      <c r="M11" s="856"/>
      <c r="N11" s="856"/>
      <c r="O11" s="856"/>
      <c r="P11" s="856"/>
      <c r="Q11" s="856"/>
      <c r="R11" s="856"/>
      <c r="S11" s="856"/>
      <c r="T11" s="856"/>
      <c r="U11" s="856"/>
      <c r="V11" s="856"/>
      <c r="W11" s="856"/>
      <c r="X11" s="856"/>
      <c r="Y11" s="856"/>
      <c r="Z11" s="856"/>
      <c r="AA11" s="856"/>
      <c r="AB11" s="856"/>
      <c r="AC11" s="856"/>
      <c r="AD11" s="856"/>
      <c r="AE11" s="856"/>
      <c r="AF11" s="856"/>
      <c r="AG11" s="856"/>
      <c r="AH11" s="856"/>
      <c r="AI11" s="856"/>
      <c r="AJ11" s="856"/>
      <c r="AK11" s="856"/>
      <c r="AL11" s="856"/>
      <c r="AM11" s="856"/>
      <c r="AN11" s="856"/>
      <c r="AO11" s="856"/>
      <c r="AP11" s="856"/>
      <c r="AQ11" s="856"/>
      <c r="AR11" s="856"/>
      <c r="AS11" s="856"/>
      <c r="AT11" s="856"/>
      <c r="AU11" s="856"/>
      <c r="AV11" s="856"/>
      <c r="AW11" s="856"/>
      <c r="AX11" s="856"/>
      <c r="BV11" s="630"/>
      <c r="BW11" s="630"/>
      <c r="CA11" s="648"/>
    </row>
    <row r="12" spans="1:88" ht="14">
      <c r="CA12" s="648"/>
    </row>
    <row r="13" spans="1:88" ht="14">
      <c r="A13" s="626"/>
      <c r="CA13" s="648"/>
    </row>
    <row r="14" spans="1:88" ht="14">
      <c r="CA14" s="648"/>
    </row>
    <row r="15" spans="1:88" ht="14">
      <c r="CA15" s="648"/>
    </row>
    <row r="16" spans="1:88" ht="14">
      <c r="CA16" s="70"/>
    </row>
    <row r="17" spans="20:79" ht="14">
      <c r="T17" s="565"/>
      <c r="U17" s="565"/>
      <c r="V17" s="565"/>
      <c r="CA17" s="630"/>
    </row>
  </sheetData>
  <sheetProtection formatCells="0" insertColumns="0" insertRows="0" deleteColumns="0" deleteRows="0"/>
  <mergeCells count="2">
    <mergeCell ref="A11:AX11"/>
    <mergeCell ref="A1:AX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8"/>
  <sheetViews>
    <sheetView workbookViewId="0">
      <pane xSplit="2" ySplit="5" topLeftCell="C9" activePane="bottomRight" state="frozen"/>
      <selection pane="topRight" activeCell="C1" sqref="C1"/>
      <selection pane="bottomLeft" activeCell="A6" sqref="A6"/>
      <selection pane="bottomRight" activeCell="C6" sqref="C6:C27"/>
    </sheetView>
  </sheetViews>
  <sheetFormatPr defaultColWidth="9.1796875" defaultRowHeight="12.5"/>
  <cols>
    <col min="1" max="2" width="6.81640625" style="6" customWidth="1"/>
    <col min="3" max="6" width="20.81640625" style="6" customWidth="1"/>
    <col min="7" max="16384" width="9.1796875" style="6"/>
  </cols>
  <sheetData>
    <row r="1" spans="1:6" s="4" customFormat="1" ht="14">
      <c r="A1" s="1" t="s">
        <v>407</v>
      </c>
    </row>
    <row r="3" spans="1:6">
      <c r="A3" s="890" t="s">
        <v>97</v>
      </c>
      <c r="B3" s="890"/>
      <c r="C3" s="729"/>
      <c r="D3" s="729"/>
      <c r="E3" s="729"/>
      <c r="F3" s="729"/>
    </row>
    <row r="4" spans="1:6" ht="15" customHeight="1">
      <c r="A4" s="885" t="s">
        <v>98</v>
      </c>
      <c r="B4" s="891"/>
      <c r="C4" s="892" t="s">
        <v>270</v>
      </c>
      <c r="D4" s="893"/>
      <c r="E4" s="893"/>
      <c r="F4" s="894"/>
    </row>
    <row r="5" spans="1:6" ht="15" customHeight="1">
      <c r="A5" s="885"/>
      <c r="B5" s="891"/>
      <c r="C5" s="57" t="s">
        <v>102</v>
      </c>
      <c r="D5" s="21" t="s">
        <v>408</v>
      </c>
      <c r="E5" s="56" t="s">
        <v>225</v>
      </c>
      <c r="F5" s="35" t="s">
        <v>204</v>
      </c>
    </row>
    <row r="6" spans="1:6">
      <c r="A6" s="659">
        <v>2011</v>
      </c>
      <c r="B6" s="686" t="s">
        <v>231</v>
      </c>
      <c r="C6" s="54">
        <v>1441.2453458100001</v>
      </c>
      <c r="D6" s="54">
        <v>1369</v>
      </c>
      <c r="E6" s="54">
        <v>71</v>
      </c>
      <c r="F6" s="54">
        <v>1</v>
      </c>
    </row>
    <row r="7" spans="1:6">
      <c r="A7" s="10"/>
      <c r="B7" s="33" t="s">
        <v>232</v>
      </c>
      <c r="C7" s="54">
        <v>1485.3960847199999</v>
      </c>
      <c r="D7" s="54">
        <v>1410</v>
      </c>
      <c r="E7" s="54">
        <v>74</v>
      </c>
      <c r="F7" s="54">
        <v>1</v>
      </c>
    </row>
    <row r="8" spans="1:6">
      <c r="A8" s="10"/>
      <c r="B8" s="33" t="s">
        <v>233</v>
      </c>
      <c r="C8" s="54">
        <v>1525.0637224000002</v>
      </c>
      <c r="D8" s="54">
        <v>1448</v>
      </c>
      <c r="E8" s="54">
        <v>76</v>
      </c>
      <c r="F8" s="54">
        <v>1</v>
      </c>
    </row>
    <row r="9" spans="1:6">
      <c r="A9" s="12"/>
      <c r="B9" s="34" t="s">
        <v>234</v>
      </c>
      <c r="C9" s="31">
        <v>1561.81942295</v>
      </c>
      <c r="D9" s="31">
        <v>1483</v>
      </c>
      <c r="E9" s="31">
        <v>78</v>
      </c>
      <c r="F9" s="31">
        <v>1</v>
      </c>
    </row>
    <row r="10" spans="1:6">
      <c r="A10" s="10">
        <v>2012</v>
      </c>
      <c r="B10" s="33" t="s">
        <v>231</v>
      </c>
      <c r="C10" s="54">
        <v>1613.2051173700002</v>
      </c>
      <c r="D10" s="54">
        <v>1532</v>
      </c>
      <c r="E10" s="54">
        <v>80</v>
      </c>
      <c r="F10" s="54">
        <v>1</v>
      </c>
    </row>
    <row r="11" spans="1:6">
      <c r="A11" s="10"/>
      <c r="B11" s="33" t="s">
        <v>232</v>
      </c>
      <c r="C11" s="54">
        <v>1655.59878918</v>
      </c>
      <c r="D11" s="54">
        <v>1577</v>
      </c>
      <c r="E11" s="54">
        <v>78</v>
      </c>
      <c r="F11" s="54">
        <v>1</v>
      </c>
    </row>
    <row r="12" spans="1:6">
      <c r="A12" s="10"/>
      <c r="B12" s="33" t="s">
        <v>233</v>
      </c>
      <c r="C12" s="54">
        <v>1691.9298306599999</v>
      </c>
      <c r="D12" s="54">
        <v>1615</v>
      </c>
      <c r="E12" s="54">
        <v>76</v>
      </c>
      <c r="F12" s="54">
        <v>1</v>
      </c>
    </row>
    <row r="13" spans="1:6">
      <c r="A13" s="10"/>
      <c r="B13" s="33" t="s">
        <v>234</v>
      </c>
      <c r="C13" s="54">
        <v>1700.5439530599999</v>
      </c>
      <c r="D13" s="54">
        <v>1627</v>
      </c>
      <c r="E13" s="54">
        <v>74</v>
      </c>
      <c r="F13" s="54">
        <v>1</v>
      </c>
    </row>
    <row r="14" spans="1:6">
      <c r="A14" s="659">
        <v>2013</v>
      </c>
      <c r="B14" s="660" t="s">
        <v>231</v>
      </c>
      <c r="C14" s="692">
        <v>1707.5972737</v>
      </c>
      <c r="D14" s="692">
        <v>1635</v>
      </c>
      <c r="E14" s="692">
        <v>72</v>
      </c>
      <c r="F14" s="692">
        <v>0</v>
      </c>
    </row>
    <row r="15" spans="1:6">
      <c r="A15" s="10"/>
      <c r="B15" s="11" t="s">
        <v>232</v>
      </c>
      <c r="C15" s="54">
        <v>1736.0149906700001</v>
      </c>
      <c r="D15" s="54">
        <v>1662</v>
      </c>
      <c r="E15" s="54">
        <v>74</v>
      </c>
      <c r="F15" s="54">
        <v>0</v>
      </c>
    </row>
    <row r="16" spans="1:6">
      <c r="A16" s="10"/>
      <c r="B16" s="11" t="s">
        <v>233</v>
      </c>
      <c r="C16" s="55">
        <v>1776.0347141700001</v>
      </c>
      <c r="D16" s="55">
        <v>1705</v>
      </c>
      <c r="E16" s="55">
        <v>71</v>
      </c>
      <c r="F16" s="55">
        <v>0</v>
      </c>
    </row>
    <row r="17" spans="1:6">
      <c r="A17" s="12"/>
      <c r="B17" s="13" t="s">
        <v>234</v>
      </c>
      <c r="C17" s="30">
        <v>1799.24287568</v>
      </c>
      <c r="D17" s="30">
        <v>1714</v>
      </c>
      <c r="E17" s="30">
        <v>85</v>
      </c>
      <c r="F17" s="30">
        <v>0</v>
      </c>
    </row>
    <row r="18" spans="1:6">
      <c r="A18" s="659">
        <v>2014</v>
      </c>
      <c r="B18" s="686" t="s">
        <v>231</v>
      </c>
      <c r="C18" s="55">
        <v>1806.8203681099999</v>
      </c>
      <c r="D18" s="55">
        <v>1734</v>
      </c>
      <c r="E18" s="55">
        <v>73</v>
      </c>
      <c r="F18" s="55">
        <v>0</v>
      </c>
    </row>
    <row r="19" spans="1:6">
      <c r="A19" s="10"/>
      <c r="B19" s="33" t="s">
        <v>232</v>
      </c>
      <c r="C19" s="55">
        <v>1820.4032913199999</v>
      </c>
      <c r="D19" s="55">
        <v>1735</v>
      </c>
      <c r="E19" s="55">
        <v>85</v>
      </c>
      <c r="F19" s="55" t="s">
        <v>409</v>
      </c>
    </row>
    <row r="20" spans="1:6">
      <c r="A20" s="10"/>
      <c r="B20" s="33" t="s">
        <v>233</v>
      </c>
      <c r="C20" s="55">
        <v>1866.7646524199999</v>
      </c>
      <c r="D20" s="55">
        <v>1781</v>
      </c>
      <c r="E20" s="55">
        <v>76</v>
      </c>
      <c r="F20" s="55">
        <v>10</v>
      </c>
    </row>
    <row r="21" spans="1:6">
      <c r="A21" s="12"/>
      <c r="B21" s="34" t="s">
        <v>234</v>
      </c>
      <c r="C21" s="30">
        <v>2099</v>
      </c>
      <c r="D21" s="30">
        <v>2009</v>
      </c>
      <c r="E21" s="30">
        <v>79</v>
      </c>
      <c r="F21" s="30">
        <v>11</v>
      </c>
    </row>
    <row r="22" spans="1:6">
      <c r="A22" s="10">
        <v>2015</v>
      </c>
      <c r="B22" s="33" t="s">
        <v>231</v>
      </c>
      <c r="C22" s="55">
        <v>1843.0529084100001</v>
      </c>
      <c r="D22" s="55">
        <v>1755</v>
      </c>
      <c r="E22" s="55">
        <v>88</v>
      </c>
      <c r="F22" s="55" t="s">
        <v>410</v>
      </c>
    </row>
    <row r="23" spans="1:6">
      <c r="A23" s="10"/>
      <c r="B23" s="11" t="s">
        <v>232</v>
      </c>
      <c r="C23" s="55">
        <v>1908.5335361600003</v>
      </c>
      <c r="D23" s="55">
        <v>1820</v>
      </c>
      <c r="E23" s="55">
        <v>89</v>
      </c>
      <c r="F23" s="55">
        <v>0</v>
      </c>
    </row>
    <row r="24" spans="1:6">
      <c r="A24" s="10"/>
      <c r="B24" s="11" t="s">
        <v>233</v>
      </c>
      <c r="C24" s="55">
        <v>1864.4117747099997</v>
      </c>
      <c r="D24" s="55">
        <v>1782</v>
      </c>
      <c r="E24" s="55">
        <v>82</v>
      </c>
      <c r="F24" s="55">
        <v>0</v>
      </c>
    </row>
    <row r="25" spans="1:6">
      <c r="A25" s="12"/>
      <c r="B25" s="13" t="s">
        <v>234</v>
      </c>
      <c r="C25" s="30">
        <v>1794.1949999999999</v>
      </c>
      <c r="D25" s="30">
        <v>1708</v>
      </c>
      <c r="E25" s="30">
        <v>86</v>
      </c>
      <c r="F25" s="30">
        <v>0</v>
      </c>
    </row>
    <row r="26" spans="1:6">
      <c r="A26" s="659">
        <v>2016</v>
      </c>
      <c r="B26" s="660" t="s">
        <v>231</v>
      </c>
      <c r="C26" s="693">
        <v>1694.136</v>
      </c>
      <c r="D26" s="693">
        <v>1609.229</v>
      </c>
      <c r="E26" s="693">
        <v>84.9</v>
      </c>
      <c r="F26" s="693">
        <v>0</v>
      </c>
    </row>
    <row r="27" spans="1:6">
      <c r="A27" s="58"/>
      <c r="B27" s="13" t="s">
        <v>232</v>
      </c>
      <c r="C27" s="30">
        <v>1733</v>
      </c>
      <c r="D27" s="30">
        <v>1656</v>
      </c>
      <c r="E27" s="30">
        <v>77</v>
      </c>
      <c r="F27" s="30">
        <v>0</v>
      </c>
    </row>
    <row r="28" spans="1:6">
      <c r="A28" s="6" t="s">
        <v>411</v>
      </c>
    </row>
  </sheetData>
  <mergeCells count="3">
    <mergeCell ref="A3:F3"/>
    <mergeCell ref="A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2" ySplit="5" topLeftCell="C15" activePane="bottomRight" state="frozen"/>
      <selection pane="topRight" activeCell="C1" sqref="C1"/>
      <selection pane="bottomLeft" activeCell="A6" sqref="A6"/>
      <selection pane="bottomRight" activeCell="C6" sqref="C6"/>
    </sheetView>
  </sheetViews>
  <sheetFormatPr defaultColWidth="9.1796875" defaultRowHeight="12.5"/>
  <cols>
    <col min="1" max="2" width="6.81640625" style="6" customWidth="1"/>
    <col min="3" max="7" width="15.81640625" style="6" customWidth="1"/>
    <col min="8" max="16384" width="9.1796875" style="6"/>
  </cols>
  <sheetData>
    <row r="1" spans="1:7" s="4" customFormat="1" ht="14">
      <c r="A1" s="1" t="s">
        <v>121</v>
      </c>
    </row>
    <row r="3" spans="1:7">
      <c r="A3" s="720" t="s">
        <v>97</v>
      </c>
      <c r="B3" s="720"/>
      <c r="C3" s="720"/>
      <c r="D3" s="720"/>
      <c r="E3" s="720"/>
      <c r="F3" s="720"/>
      <c r="G3" s="720"/>
    </row>
    <row r="4" spans="1:7" ht="15" customHeight="1">
      <c r="A4" s="721" t="s">
        <v>98</v>
      </c>
      <c r="B4" s="722"/>
      <c r="C4" s="725" t="s">
        <v>122</v>
      </c>
      <c r="D4" s="725"/>
      <c r="E4" s="725"/>
      <c r="F4" s="725"/>
      <c r="G4" s="726"/>
    </row>
    <row r="5" spans="1:7" ht="25">
      <c r="A5" s="723"/>
      <c r="B5" s="724"/>
      <c r="C5" s="9" t="s">
        <v>102</v>
      </c>
      <c r="D5" s="21" t="s">
        <v>123</v>
      </c>
      <c r="E5" s="21" t="s">
        <v>3</v>
      </c>
      <c r="F5" s="21" t="s">
        <v>124</v>
      </c>
      <c r="G5" s="21" t="s">
        <v>125</v>
      </c>
    </row>
    <row r="6" spans="1:7">
      <c r="A6" s="659">
        <v>2011</v>
      </c>
      <c r="B6" s="660" t="s">
        <v>105</v>
      </c>
      <c r="C6" s="661">
        <v>12331.269786609799</v>
      </c>
      <c r="D6" s="661">
        <v>8704.3718988565015</v>
      </c>
      <c r="E6" s="26">
        <v>1002.2</v>
      </c>
      <c r="F6" s="661">
        <v>161.88375752000002</v>
      </c>
      <c r="G6" s="22">
        <v>2786.5750429732989</v>
      </c>
    </row>
    <row r="7" spans="1:7">
      <c r="A7" s="10"/>
      <c r="B7" s="11" t="s">
        <v>106</v>
      </c>
      <c r="C7" s="23">
        <v>12642.519907101898</v>
      </c>
      <c r="D7" s="23">
        <v>8977.372538606498</v>
      </c>
      <c r="E7" s="26">
        <v>979.24</v>
      </c>
      <c r="F7" s="23">
        <v>174.68294985</v>
      </c>
      <c r="G7" s="22">
        <v>2860.5897263954002</v>
      </c>
    </row>
    <row r="8" spans="1:7">
      <c r="A8" s="10"/>
      <c r="B8" s="11" t="s">
        <v>107</v>
      </c>
      <c r="C8" s="23">
        <v>12985.017666593798</v>
      </c>
      <c r="D8" s="23">
        <v>9047.3147483330995</v>
      </c>
      <c r="E8" s="26">
        <v>949.84</v>
      </c>
      <c r="F8" s="23">
        <v>153.66705368000001</v>
      </c>
      <c r="G8" s="22">
        <v>3141.5152393806993</v>
      </c>
    </row>
    <row r="9" spans="1:7">
      <c r="A9" s="10"/>
      <c r="B9" s="11" t="s">
        <v>108</v>
      </c>
      <c r="C9" s="23">
        <v>13218.9883338656</v>
      </c>
      <c r="D9" s="23">
        <v>9303.4721708756006</v>
      </c>
      <c r="E9" s="26">
        <v>972.84</v>
      </c>
      <c r="F9" s="23">
        <v>152.99940286</v>
      </c>
      <c r="G9" s="22">
        <v>3095.6663063899991</v>
      </c>
    </row>
    <row r="10" spans="1:7">
      <c r="A10" s="10"/>
      <c r="B10" s="11" t="s">
        <v>109</v>
      </c>
      <c r="C10" s="23">
        <v>13458.543489505895</v>
      </c>
      <c r="D10" s="23">
        <v>9279.5928226926972</v>
      </c>
      <c r="E10" s="26">
        <v>971.09</v>
      </c>
      <c r="F10" s="23">
        <v>154.58286106</v>
      </c>
      <c r="G10" s="22">
        <v>3362.4398273731995</v>
      </c>
    </row>
    <row r="11" spans="1:7">
      <c r="A11" s="10"/>
      <c r="B11" s="11" t="s">
        <v>110</v>
      </c>
      <c r="C11" s="23">
        <v>13219.803726052598</v>
      </c>
      <c r="D11" s="23">
        <v>9361.0849130474999</v>
      </c>
      <c r="E11" s="26">
        <v>942.14</v>
      </c>
      <c r="F11" s="23">
        <v>153.71887966000003</v>
      </c>
      <c r="G11" s="22">
        <v>3070.2933006450994</v>
      </c>
    </row>
    <row r="12" spans="1:7">
      <c r="A12" s="10"/>
      <c r="B12" s="11" t="s">
        <v>111</v>
      </c>
      <c r="C12" s="23">
        <v>13159.375481735657</v>
      </c>
      <c r="D12" s="23">
        <v>9836.3346606211708</v>
      </c>
      <c r="E12" s="26">
        <v>953.02</v>
      </c>
      <c r="F12" s="23">
        <v>163.42764524999998</v>
      </c>
      <c r="G12" s="22">
        <v>2533.4353659944873</v>
      </c>
    </row>
    <row r="13" spans="1:7">
      <c r="A13" s="10"/>
      <c r="B13" s="11" t="s">
        <v>112</v>
      </c>
      <c r="C13" s="23">
        <v>13079.109380002252</v>
      </c>
      <c r="D13" s="23">
        <v>9663.5753910079475</v>
      </c>
      <c r="E13" s="26">
        <v>970.79</v>
      </c>
      <c r="F13" s="23">
        <v>165.54835316</v>
      </c>
      <c r="G13" s="22">
        <v>2610.2553366243042</v>
      </c>
    </row>
    <row r="14" spans="1:7">
      <c r="A14" s="10"/>
      <c r="B14" s="11" t="s">
        <v>113</v>
      </c>
      <c r="C14" s="23">
        <v>13068.286219825966</v>
      </c>
      <c r="D14" s="23">
        <v>9386.0694445144945</v>
      </c>
      <c r="E14" s="26">
        <v>915.19</v>
      </c>
      <c r="F14" s="23">
        <v>150.45415818000001</v>
      </c>
      <c r="G14" s="22">
        <v>2917.472282621472</v>
      </c>
    </row>
    <row r="15" spans="1:7">
      <c r="A15" s="10"/>
      <c r="B15" s="11" t="s">
        <v>114</v>
      </c>
      <c r="C15" s="23">
        <v>14007.024537491265</v>
      </c>
      <c r="D15" s="23">
        <v>9898.5600783610716</v>
      </c>
      <c r="E15" s="26">
        <v>1002.48</v>
      </c>
      <c r="F15" s="23">
        <v>234.93420376</v>
      </c>
      <c r="G15" s="22">
        <v>3340.9238655301933</v>
      </c>
    </row>
    <row r="16" spans="1:7">
      <c r="A16" s="10"/>
      <c r="B16" s="11" t="s">
        <v>115</v>
      </c>
      <c r="C16" s="23">
        <v>13883.959060948289</v>
      </c>
      <c r="D16" s="23">
        <v>9920.5102838430794</v>
      </c>
      <c r="E16" s="26">
        <v>1003.65</v>
      </c>
      <c r="F16" s="23">
        <v>231.10669067999999</v>
      </c>
      <c r="G16" s="22">
        <v>3190.9098128052101</v>
      </c>
    </row>
    <row r="17" spans="1:7">
      <c r="A17" s="12"/>
      <c r="B17" s="13" t="s">
        <v>116</v>
      </c>
      <c r="C17" s="24">
        <v>13836.155842331013</v>
      </c>
      <c r="D17" s="24">
        <v>9603.6961333784657</v>
      </c>
      <c r="E17" s="27">
        <v>1689.99</v>
      </c>
      <c r="F17" s="24">
        <v>858.92750224999997</v>
      </c>
      <c r="G17" s="25">
        <v>3401.4212508825467</v>
      </c>
    </row>
    <row r="18" spans="1:7">
      <c r="A18" s="10">
        <v>2012</v>
      </c>
      <c r="B18" s="11" t="s">
        <v>105</v>
      </c>
      <c r="C18" s="23">
        <v>14829.162232062674</v>
      </c>
      <c r="D18" s="23">
        <v>9070.927621057881</v>
      </c>
      <c r="E18" s="26">
        <v>997.84082181999997</v>
      </c>
      <c r="F18" s="23">
        <v>177.68382673999997</v>
      </c>
      <c r="G18" s="22">
        <v>4938.0776159247926</v>
      </c>
    </row>
    <row r="19" spans="1:7">
      <c r="A19" s="10"/>
      <c r="B19" s="11" t="s">
        <v>106</v>
      </c>
      <c r="C19" s="23">
        <v>13815.877680321602</v>
      </c>
      <c r="D19" s="23">
        <v>9797.2053079787147</v>
      </c>
      <c r="E19" s="26">
        <v>1125.6970962999999</v>
      </c>
      <c r="F19" s="23">
        <v>317.92885011999999</v>
      </c>
      <c r="G19" s="22">
        <v>3210.9041261628868</v>
      </c>
    </row>
    <row r="20" spans="1:7">
      <c r="A20" s="10"/>
      <c r="B20" s="11" t="s">
        <v>107</v>
      </c>
      <c r="C20" s="23">
        <v>14834.669845295677</v>
      </c>
      <c r="D20" s="23">
        <v>10009.105908191403</v>
      </c>
      <c r="E20" s="26">
        <v>1238.85499026</v>
      </c>
      <c r="F20" s="23">
        <v>440.08611082000004</v>
      </c>
      <c r="G20" s="22">
        <v>3686.7246235942757</v>
      </c>
    </row>
    <row r="21" spans="1:7">
      <c r="A21" s="10"/>
      <c r="B21" s="11" t="s">
        <v>108</v>
      </c>
      <c r="C21" s="23">
        <v>14431.253928635824</v>
      </c>
      <c r="D21" s="23">
        <v>9338.9545873104435</v>
      </c>
      <c r="E21" s="26">
        <v>2346.5936323900005</v>
      </c>
      <c r="F21" s="23">
        <v>1555.66461587</v>
      </c>
      <c r="G21" s="22">
        <v>4301.3703248053807</v>
      </c>
    </row>
    <row r="22" spans="1:7">
      <c r="A22" s="10"/>
      <c r="B22" s="11" t="s">
        <v>109</v>
      </c>
      <c r="C22" s="23">
        <v>14116.127495280289</v>
      </c>
      <c r="D22" s="23">
        <v>9762.3384726325676</v>
      </c>
      <c r="E22" s="26">
        <v>2062.0124522600004</v>
      </c>
      <c r="F22" s="23">
        <v>1216.9239068100003</v>
      </c>
      <c r="G22" s="22">
        <v>3508.7004771977204</v>
      </c>
    </row>
    <row r="23" spans="1:7">
      <c r="A23" s="10"/>
      <c r="B23" s="11" t="s">
        <v>110</v>
      </c>
      <c r="C23" s="23">
        <v>13807.746365425151</v>
      </c>
      <c r="D23" s="23">
        <v>9440.7543857928576</v>
      </c>
      <c r="E23" s="26">
        <v>2125.1717992499998</v>
      </c>
      <c r="F23" s="23">
        <v>1238.2597494299998</v>
      </c>
      <c r="G23" s="22">
        <v>3480.0799298122929</v>
      </c>
    </row>
    <row r="24" spans="1:7">
      <c r="A24" s="10"/>
      <c r="B24" s="11" t="s">
        <v>111</v>
      </c>
      <c r="C24" s="23">
        <v>14290.755789514025</v>
      </c>
      <c r="D24" s="23">
        <v>9629.6779281229374</v>
      </c>
      <c r="E24" s="26">
        <v>2109.1354985899998</v>
      </c>
      <c r="F24" s="23">
        <v>1212.2921713200001</v>
      </c>
      <c r="G24" s="22">
        <v>3764.2345341210885</v>
      </c>
    </row>
    <row r="25" spans="1:7">
      <c r="A25" s="10"/>
      <c r="B25" s="11" t="s">
        <v>112</v>
      </c>
      <c r="C25" s="23">
        <v>14149.202945805508</v>
      </c>
      <c r="D25" s="23">
        <v>9465.9454169659602</v>
      </c>
      <c r="E25" s="26">
        <v>1848.6834745000001</v>
      </c>
      <c r="F25" s="23">
        <v>762.00768143000005</v>
      </c>
      <c r="G25" s="22">
        <v>3596.5817357695478</v>
      </c>
    </row>
    <row r="26" spans="1:7">
      <c r="A26" s="10"/>
      <c r="B26" s="11" t="s">
        <v>113</v>
      </c>
      <c r="C26" s="23">
        <v>14007.931175731745</v>
      </c>
      <c r="D26" s="23">
        <v>9524.0636615659259</v>
      </c>
      <c r="E26" s="26">
        <v>1623.7179944100001</v>
      </c>
      <c r="F26" s="23">
        <v>663.04957146999993</v>
      </c>
      <c r="G26" s="22">
        <v>3523.1990912258184</v>
      </c>
    </row>
    <row r="27" spans="1:7">
      <c r="A27" s="10"/>
      <c r="B27" s="11" t="s">
        <v>114</v>
      </c>
      <c r="C27" s="23">
        <v>14902.659130986242</v>
      </c>
      <c r="D27" s="23">
        <v>10314.578734937162</v>
      </c>
      <c r="E27" s="26">
        <v>1610.3939718300001</v>
      </c>
      <c r="F27" s="23">
        <v>664.66263449999997</v>
      </c>
      <c r="G27" s="22">
        <v>3642.3490587190786</v>
      </c>
    </row>
    <row r="28" spans="1:7">
      <c r="A28" s="10"/>
      <c r="B28" s="11" t="s">
        <v>115</v>
      </c>
      <c r="C28" s="23"/>
      <c r="D28" s="23"/>
      <c r="E28" s="26"/>
      <c r="F28" s="23"/>
      <c r="G28" s="22"/>
    </row>
    <row r="29" spans="1:7">
      <c r="A29" s="12"/>
      <c r="B29" s="13" t="s">
        <v>116</v>
      </c>
      <c r="C29" s="24"/>
      <c r="D29" s="24"/>
      <c r="E29" s="27"/>
      <c r="F29" s="24"/>
      <c r="G29" s="25"/>
    </row>
    <row r="31" spans="1:7">
      <c r="A31" s="6" t="s">
        <v>126</v>
      </c>
    </row>
  </sheetData>
  <mergeCells count="3">
    <mergeCell ref="A3:G3"/>
    <mergeCell ref="A4:B5"/>
    <mergeCell ref="C4:G4"/>
  </mergeCells>
  <pageMargins left="0.7" right="0.7" top="0.75" bottom="0.75" header="0.3" footer="0.3"/>
  <pageSetup orientation="landscape"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pane xSplit="2" ySplit="5" topLeftCell="C18" activePane="bottomRight" state="frozen"/>
      <selection pane="topRight" activeCell="C1" sqref="C1"/>
      <selection pane="bottomLeft" activeCell="A6" sqref="A6"/>
      <selection pane="bottomRight" activeCell="X24" sqref="X24"/>
    </sheetView>
  </sheetViews>
  <sheetFormatPr defaultColWidth="9.1796875" defaultRowHeight="12.5"/>
  <cols>
    <col min="1" max="2" width="5.81640625" style="6" customWidth="1"/>
    <col min="3" max="9" width="7.81640625" style="6" customWidth="1"/>
    <col min="10" max="10" width="5.81640625" style="6" customWidth="1"/>
    <col min="11" max="11" width="1.81640625" style="6" customWidth="1"/>
    <col min="12" max="14" width="7.81640625" style="6" customWidth="1"/>
    <col min="15" max="15" width="6.81640625" style="6" customWidth="1"/>
    <col min="16" max="16" width="5.81640625" style="6" customWidth="1"/>
    <col min="17" max="17" width="6.81640625" style="6" customWidth="1"/>
    <col min="18" max="19" width="5.81640625" style="6" customWidth="1"/>
    <col min="20" max="20" width="7.81640625" style="6" customWidth="1"/>
    <col min="21" max="21" width="6.81640625" style="6" customWidth="1"/>
    <col min="22" max="16384" width="9.1796875" style="6"/>
  </cols>
  <sheetData>
    <row r="1" spans="1:21" s="4" customFormat="1" ht="14">
      <c r="A1" s="1" t="s">
        <v>127</v>
      </c>
    </row>
    <row r="3" spans="1:21" ht="15.75" customHeight="1">
      <c r="A3" s="729" t="s">
        <v>97</v>
      </c>
      <c r="B3" s="729"/>
      <c r="C3" s="729"/>
      <c r="D3" s="729"/>
      <c r="E3" s="729"/>
      <c r="F3" s="729"/>
      <c r="G3" s="729"/>
      <c r="H3" s="729"/>
      <c r="I3" s="729"/>
      <c r="J3" s="729"/>
      <c r="K3" s="729"/>
      <c r="L3" s="729"/>
      <c r="M3" s="729"/>
      <c r="N3" s="729"/>
      <c r="O3" s="729"/>
      <c r="P3" s="729"/>
      <c r="Q3" s="729"/>
      <c r="R3" s="729"/>
      <c r="S3" s="729"/>
      <c r="T3" s="729"/>
      <c r="U3" s="729"/>
    </row>
    <row r="4" spans="1:21" ht="15.75" customHeight="1">
      <c r="A4" s="731" t="s">
        <v>98</v>
      </c>
      <c r="B4" s="731"/>
      <c r="C4" s="730" t="s">
        <v>128</v>
      </c>
      <c r="D4" s="725"/>
      <c r="E4" s="726"/>
      <c r="F4" s="728" t="s">
        <v>129</v>
      </c>
      <c r="G4" s="725" t="s">
        <v>130</v>
      </c>
      <c r="H4" s="725"/>
      <c r="I4" s="726"/>
      <c r="J4" s="728" t="s">
        <v>131</v>
      </c>
      <c r="K4" s="728"/>
      <c r="L4" s="725" t="s">
        <v>132</v>
      </c>
      <c r="M4" s="725"/>
      <c r="N4" s="725"/>
      <c r="O4" s="725"/>
      <c r="P4" s="727" t="s">
        <v>133</v>
      </c>
      <c r="Q4" s="727" t="s">
        <v>134</v>
      </c>
      <c r="R4" s="727" t="s">
        <v>135</v>
      </c>
      <c r="S4" s="727" t="s">
        <v>53</v>
      </c>
      <c r="T4" s="727" t="s">
        <v>90</v>
      </c>
      <c r="U4" s="727" t="s">
        <v>136</v>
      </c>
    </row>
    <row r="5" spans="1:21" ht="90" customHeight="1">
      <c r="A5" s="732"/>
      <c r="B5" s="732"/>
      <c r="C5" s="28" t="s">
        <v>102</v>
      </c>
      <c r="D5" s="663" t="s">
        <v>137</v>
      </c>
      <c r="E5" s="662" t="s">
        <v>138</v>
      </c>
      <c r="F5" s="733"/>
      <c r="G5" s="29" t="s">
        <v>102</v>
      </c>
      <c r="H5" s="662" t="s">
        <v>139</v>
      </c>
      <c r="I5" s="662" t="s">
        <v>140</v>
      </c>
      <c r="J5" s="733"/>
      <c r="K5" s="733"/>
      <c r="L5" s="29" t="s">
        <v>102</v>
      </c>
      <c r="M5" s="663" t="s">
        <v>141</v>
      </c>
      <c r="N5" s="662" t="s">
        <v>142</v>
      </c>
      <c r="O5" s="664" t="s">
        <v>143</v>
      </c>
      <c r="P5" s="728"/>
      <c r="Q5" s="728"/>
      <c r="R5" s="728"/>
      <c r="S5" s="728"/>
      <c r="T5" s="728"/>
      <c r="U5" s="728"/>
    </row>
    <row r="6" spans="1:21">
      <c r="A6" s="659">
        <v>2011</v>
      </c>
      <c r="B6" s="660" t="s">
        <v>105</v>
      </c>
      <c r="C6" s="665">
        <v>1561.8613459755002</v>
      </c>
      <c r="D6" s="666">
        <v>2001.0329705305001</v>
      </c>
      <c r="E6" s="667">
        <v>-439.17162455499999</v>
      </c>
      <c r="F6" s="666">
        <v>1014.5596783399999</v>
      </c>
      <c r="G6" s="667">
        <v>131.15429039</v>
      </c>
      <c r="H6" s="666">
        <v>300.85007994</v>
      </c>
      <c r="I6" s="667">
        <v>-169.69578955</v>
      </c>
      <c r="J6" s="666">
        <v>0</v>
      </c>
      <c r="K6" s="733"/>
      <c r="L6" s="667">
        <v>1686.3245488100001</v>
      </c>
      <c r="M6" s="668">
        <v>1002.2066023</v>
      </c>
      <c r="N6" s="665">
        <v>684.11794651000002</v>
      </c>
      <c r="O6" s="668">
        <v>0</v>
      </c>
      <c r="P6" s="665">
        <v>3.4999999999999997E-5</v>
      </c>
      <c r="Q6" s="668">
        <v>0</v>
      </c>
      <c r="R6" s="665">
        <v>0</v>
      </c>
      <c r="S6" s="668">
        <v>0</v>
      </c>
      <c r="T6" s="665">
        <v>1039.0333730700002</v>
      </c>
      <c r="U6" s="668">
        <v>-17.782642174500051</v>
      </c>
    </row>
    <row r="7" spans="1:21">
      <c r="A7" s="10"/>
      <c r="B7" s="11" t="s">
        <v>106</v>
      </c>
      <c r="C7" s="41">
        <v>1654.481421233</v>
      </c>
      <c r="D7" s="42">
        <v>2095.045257923</v>
      </c>
      <c r="E7" s="43">
        <v>-440.56383668999996</v>
      </c>
      <c r="F7" s="42">
        <v>930.99284251999995</v>
      </c>
      <c r="G7" s="43">
        <v>131.07422813999997</v>
      </c>
      <c r="H7" s="42">
        <v>300.89112103999997</v>
      </c>
      <c r="I7" s="43">
        <v>-169.8168929</v>
      </c>
      <c r="J7" s="42">
        <v>0</v>
      </c>
      <c r="K7" s="733"/>
      <c r="L7" s="43">
        <v>1693.73389318</v>
      </c>
      <c r="M7" s="44">
        <v>979.24059195000007</v>
      </c>
      <c r="N7" s="41">
        <v>714.49330123000004</v>
      </c>
      <c r="O7" s="44">
        <v>0</v>
      </c>
      <c r="P7" s="41">
        <v>0</v>
      </c>
      <c r="Q7" s="44">
        <v>0</v>
      </c>
      <c r="R7" s="41">
        <v>0</v>
      </c>
      <c r="S7" s="44">
        <v>0</v>
      </c>
      <c r="T7" s="41">
        <v>1040.22884892</v>
      </c>
      <c r="U7" s="44">
        <v>-17.414250206999998</v>
      </c>
    </row>
    <row r="8" spans="1:21">
      <c r="A8" s="10"/>
      <c r="B8" s="11" t="s">
        <v>107</v>
      </c>
      <c r="C8" s="41">
        <v>1687.2494732854507</v>
      </c>
      <c r="D8" s="42">
        <v>2132.8576728129506</v>
      </c>
      <c r="E8" s="43">
        <v>-445.60819952750001</v>
      </c>
      <c r="F8" s="42">
        <v>888.18618026000001</v>
      </c>
      <c r="G8" s="43">
        <v>130.98010568000001</v>
      </c>
      <c r="H8" s="42">
        <v>300.83287831000001</v>
      </c>
      <c r="I8" s="43">
        <v>-169.85277263</v>
      </c>
      <c r="J8" s="42">
        <v>0</v>
      </c>
      <c r="K8" s="733"/>
      <c r="L8" s="43">
        <v>1680.9952100700002</v>
      </c>
      <c r="M8" s="44">
        <v>949.85473256000012</v>
      </c>
      <c r="N8" s="41">
        <v>731.14047750999998</v>
      </c>
      <c r="O8" s="44">
        <v>0</v>
      </c>
      <c r="P8" s="41">
        <v>0</v>
      </c>
      <c r="Q8" s="44">
        <v>0</v>
      </c>
      <c r="R8" s="41">
        <v>0</v>
      </c>
      <c r="S8" s="44">
        <v>0</v>
      </c>
      <c r="T8" s="41">
        <v>1043.6480916400001</v>
      </c>
      <c r="U8" s="44">
        <v>-18.227542484549961</v>
      </c>
    </row>
    <row r="9" spans="1:21">
      <c r="A9" s="10"/>
      <c r="B9" s="11" t="s">
        <v>108</v>
      </c>
      <c r="C9" s="41">
        <v>1647.0206361894402</v>
      </c>
      <c r="D9" s="42">
        <v>2090.7102450514403</v>
      </c>
      <c r="E9" s="43">
        <v>-443.689608862</v>
      </c>
      <c r="F9" s="42">
        <v>943.10874151999997</v>
      </c>
      <c r="G9" s="43">
        <v>121.66314621999999</v>
      </c>
      <c r="H9" s="42">
        <v>300.76618251000002</v>
      </c>
      <c r="I9" s="43">
        <v>-179.10303629000003</v>
      </c>
      <c r="J9" s="42">
        <v>0</v>
      </c>
      <c r="K9" s="733"/>
      <c r="L9" s="43">
        <v>1682.6209569600001</v>
      </c>
      <c r="M9" s="44">
        <v>972.84925945999998</v>
      </c>
      <c r="N9" s="41">
        <v>709.77169749999996</v>
      </c>
      <c r="O9" s="44">
        <v>0</v>
      </c>
      <c r="P9" s="41">
        <v>0</v>
      </c>
      <c r="Q9" s="44">
        <v>0</v>
      </c>
      <c r="R9" s="41">
        <v>0</v>
      </c>
      <c r="S9" s="44">
        <v>0</v>
      </c>
      <c r="T9" s="41">
        <v>1047.1161366599999</v>
      </c>
      <c r="U9" s="44">
        <v>-17.944569690560009</v>
      </c>
    </row>
    <row r="10" spans="1:21">
      <c r="A10" s="10"/>
      <c r="B10" s="11" t="s">
        <v>109</v>
      </c>
      <c r="C10" s="41">
        <v>1663.96658557</v>
      </c>
      <c r="D10" s="42">
        <v>2119.4091027899999</v>
      </c>
      <c r="E10" s="43">
        <v>-455.44251722000001</v>
      </c>
      <c r="F10" s="42">
        <v>997.85324970999989</v>
      </c>
      <c r="G10" s="43">
        <v>121.82682159000001</v>
      </c>
      <c r="H10" s="42">
        <v>300.76914149999999</v>
      </c>
      <c r="I10" s="43">
        <v>-178.94231990999998</v>
      </c>
      <c r="J10" s="42">
        <v>0</v>
      </c>
      <c r="K10" s="733"/>
      <c r="L10" s="43">
        <v>1754.13385857</v>
      </c>
      <c r="M10" s="44">
        <v>971.09370050000007</v>
      </c>
      <c r="N10" s="41">
        <v>783.04015806999996</v>
      </c>
      <c r="O10" s="44">
        <v>0</v>
      </c>
      <c r="P10" s="41">
        <v>0</v>
      </c>
      <c r="Q10" s="44">
        <v>0</v>
      </c>
      <c r="R10" s="41">
        <v>0</v>
      </c>
      <c r="S10" s="44">
        <v>0</v>
      </c>
      <c r="T10" s="41">
        <v>1047.4927553800001</v>
      </c>
      <c r="U10" s="44">
        <v>-17.979957079999906</v>
      </c>
    </row>
    <row r="11" spans="1:21">
      <c r="A11" s="10"/>
      <c r="B11" s="11" t="s">
        <v>110</v>
      </c>
      <c r="C11" s="41">
        <v>1677.6893982826002</v>
      </c>
      <c r="D11" s="42">
        <v>2116.9366863526002</v>
      </c>
      <c r="E11" s="43">
        <v>-439.24728807000002</v>
      </c>
      <c r="F11" s="42">
        <v>974.91395134000004</v>
      </c>
      <c r="G11" s="43">
        <v>121.75005969999998</v>
      </c>
      <c r="H11" s="42">
        <v>300.76754053999997</v>
      </c>
      <c r="I11" s="43">
        <v>-179.01748083999999</v>
      </c>
      <c r="J11" s="42">
        <v>0</v>
      </c>
      <c r="K11" s="733"/>
      <c r="L11" s="43">
        <v>1742.62031129</v>
      </c>
      <c r="M11" s="44">
        <v>942.14439202000005</v>
      </c>
      <c r="N11" s="41">
        <v>800.47591926999996</v>
      </c>
      <c r="O11" s="44">
        <v>0</v>
      </c>
      <c r="P11" s="41">
        <v>0</v>
      </c>
      <c r="Q11" s="44">
        <v>0</v>
      </c>
      <c r="R11" s="41">
        <v>0</v>
      </c>
      <c r="S11" s="44">
        <v>0</v>
      </c>
      <c r="T11" s="41">
        <v>1049.69590685</v>
      </c>
      <c r="U11" s="44">
        <v>-17.962808817399925</v>
      </c>
    </row>
    <row r="12" spans="1:21">
      <c r="A12" s="10"/>
      <c r="B12" s="11" t="s">
        <v>111</v>
      </c>
      <c r="C12" s="41">
        <v>1665.0276529509999</v>
      </c>
      <c r="D12" s="42">
        <v>2095.236780321</v>
      </c>
      <c r="E12" s="43">
        <v>-430.20912736999998</v>
      </c>
      <c r="F12" s="42">
        <v>989.3741104500001</v>
      </c>
      <c r="G12" s="43">
        <v>122.64611750999995</v>
      </c>
      <c r="H12" s="42">
        <v>300.79520437999997</v>
      </c>
      <c r="I12" s="43">
        <v>-178.14908687000002</v>
      </c>
      <c r="J12" s="42">
        <v>0</v>
      </c>
      <c r="K12" s="733"/>
      <c r="L12" s="43">
        <v>1745.7466426300002</v>
      </c>
      <c r="M12" s="44">
        <v>953.03310037000006</v>
      </c>
      <c r="N12" s="41">
        <v>792.71354226000005</v>
      </c>
      <c r="O12" s="44">
        <v>0</v>
      </c>
      <c r="P12" s="41">
        <v>0</v>
      </c>
      <c r="Q12" s="44">
        <v>0</v>
      </c>
      <c r="R12" s="41">
        <v>0</v>
      </c>
      <c r="S12" s="44">
        <v>0</v>
      </c>
      <c r="T12" s="41">
        <v>1056.73103219</v>
      </c>
      <c r="U12" s="44">
        <v>-25.429793909000033</v>
      </c>
    </row>
    <row r="13" spans="1:21">
      <c r="A13" s="10"/>
      <c r="B13" s="11" t="s">
        <v>112</v>
      </c>
      <c r="C13" s="41">
        <v>1630.7070324701599</v>
      </c>
      <c r="D13" s="42">
        <v>2193.4963845461598</v>
      </c>
      <c r="E13" s="43">
        <v>-562.78935207599989</v>
      </c>
      <c r="F13" s="42">
        <v>1096.89337118</v>
      </c>
      <c r="G13" s="43">
        <v>121.99132213000001</v>
      </c>
      <c r="H13" s="42">
        <v>300.77712778</v>
      </c>
      <c r="I13" s="43">
        <v>-178.78580564999999</v>
      </c>
      <c r="J13" s="42">
        <v>0</v>
      </c>
      <c r="K13" s="733"/>
      <c r="L13" s="43">
        <v>1814.5521849400002</v>
      </c>
      <c r="M13" s="44">
        <v>970.82700552999995</v>
      </c>
      <c r="N13" s="41">
        <v>843.72517941000012</v>
      </c>
      <c r="O13" s="44">
        <v>0</v>
      </c>
      <c r="P13" s="41">
        <v>4.8000000000000001E-4</v>
      </c>
      <c r="Q13" s="44">
        <v>0</v>
      </c>
      <c r="R13" s="41">
        <v>0</v>
      </c>
      <c r="S13" s="44">
        <v>0</v>
      </c>
      <c r="T13" s="41">
        <v>1061.6575308200001</v>
      </c>
      <c r="U13" s="44">
        <v>-26.618469979839944</v>
      </c>
    </row>
    <row r="14" spans="1:21">
      <c r="A14" s="10"/>
      <c r="B14" s="11" t="s">
        <v>113</v>
      </c>
      <c r="C14" s="41">
        <v>1618.7268616624604</v>
      </c>
      <c r="D14" s="42">
        <v>2194.8432078834603</v>
      </c>
      <c r="E14" s="43">
        <v>-576.11634622099996</v>
      </c>
      <c r="F14" s="42">
        <v>1094.4240078099999</v>
      </c>
      <c r="G14" s="43">
        <v>119.31214656999998</v>
      </c>
      <c r="H14" s="42">
        <v>300.76349492999998</v>
      </c>
      <c r="I14" s="43">
        <v>-181.45134836</v>
      </c>
      <c r="J14" s="42">
        <v>0</v>
      </c>
      <c r="K14" s="733"/>
      <c r="L14" s="43">
        <v>1803.95705879</v>
      </c>
      <c r="M14" s="44">
        <v>915.19865087000005</v>
      </c>
      <c r="N14" s="41">
        <v>888.75840791999997</v>
      </c>
      <c r="O14" s="44">
        <v>0</v>
      </c>
      <c r="P14" s="41">
        <v>4.8000000000000001E-4</v>
      </c>
      <c r="Q14" s="44">
        <v>0</v>
      </c>
      <c r="R14" s="41">
        <v>0</v>
      </c>
      <c r="S14" s="44">
        <v>0</v>
      </c>
      <c r="T14" s="41">
        <v>1055.2328665100001</v>
      </c>
      <c r="U14" s="44">
        <v>-26.72738925753999</v>
      </c>
    </row>
    <row r="15" spans="1:21">
      <c r="A15" s="10"/>
      <c r="B15" s="11" t="s">
        <v>114</v>
      </c>
      <c r="C15" s="41">
        <v>1630.1893638697998</v>
      </c>
      <c r="D15" s="42">
        <v>2175.0251146597998</v>
      </c>
      <c r="E15" s="43">
        <v>-544.83575079000002</v>
      </c>
      <c r="F15" s="42">
        <v>1134.01091531</v>
      </c>
      <c r="G15" s="43">
        <v>139.07018928999997</v>
      </c>
      <c r="H15" s="42">
        <v>300.77451328999996</v>
      </c>
      <c r="I15" s="43">
        <v>-161.70432399999999</v>
      </c>
      <c r="J15" s="42">
        <v>0</v>
      </c>
      <c r="K15" s="733"/>
      <c r="L15" s="43">
        <v>1869.4204837800003</v>
      </c>
      <c r="M15" s="44">
        <v>1002.4747973600001</v>
      </c>
      <c r="N15" s="41">
        <v>866.94568642000002</v>
      </c>
      <c r="O15" s="44">
        <v>0</v>
      </c>
      <c r="P15" s="41">
        <v>4.8000000000000001E-4</v>
      </c>
      <c r="Q15" s="44">
        <v>0</v>
      </c>
      <c r="R15" s="41">
        <v>0</v>
      </c>
      <c r="S15" s="44">
        <v>0</v>
      </c>
      <c r="T15" s="41">
        <v>1060.90919095</v>
      </c>
      <c r="U15" s="44">
        <v>-27.059686260199896</v>
      </c>
    </row>
    <row r="16" spans="1:21">
      <c r="A16" s="10"/>
      <c r="B16" s="11" t="s">
        <v>115</v>
      </c>
      <c r="C16" s="41">
        <v>1659.62543281168</v>
      </c>
      <c r="D16" s="42">
        <v>2211.06285852768</v>
      </c>
      <c r="E16" s="43">
        <v>-551.43742571600001</v>
      </c>
      <c r="F16" s="42">
        <v>1181.6209812499999</v>
      </c>
      <c r="G16" s="43">
        <v>138.10515901999997</v>
      </c>
      <c r="H16" s="42">
        <v>300.80610902999996</v>
      </c>
      <c r="I16" s="43">
        <v>-162.70095000999999</v>
      </c>
      <c r="J16" s="42">
        <v>0</v>
      </c>
      <c r="K16" s="733"/>
      <c r="L16" s="43">
        <v>1939.4756455199999</v>
      </c>
      <c r="M16" s="44">
        <v>1003.6456549799999</v>
      </c>
      <c r="N16" s="41">
        <v>935.82999054000004</v>
      </c>
      <c r="O16" s="44">
        <v>0</v>
      </c>
      <c r="P16" s="41">
        <v>0</v>
      </c>
      <c r="Q16" s="44">
        <v>0</v>
      </c>
      <c r="R16" s="41">
        <v>0</v>
      </c>
      <c r="S16" s="44">
        <v>0</v>
      </c>
      <c r="T16" s="41">
        <v>1067.57451169</v>
      </c>
      <c r="U16" s="44">
        <v>-27.698584128320029</v>
      </c>
    </row>
    <row r="17" spans="1:21">
      <c r="A17" s="12"/>
      <c r="B17" s="13" t="s">
        <v>116</v>
      </c>
      <c r="C17" s="45">
        <v>2697.5475591680697</v>
      </c>
      <c r="D17" s="46">
        <v>3124.4030224295698</v>
      </c>
      <c r="E17" s="47">
        <v>-426.85546326149995</v>
      </c>
      <c r="F17" s="46">
        <v>850.21528043000001</v>
      </c>
      <c r="G17" s="47">
        <v>138.18142043</v>
      </c>
      <c r="H17" s="46">
        <v>300.76909787</v>
      </c>
      <c r="I17" s="47">
        <v>-162.58767743999999</v>
      </c>
      <c r="J17" s="46">
        <v>0</v>
      </c>
      <c r="K17" s="733"/>
      <c r="L17" s="47">
        <v>2665.47886251</v>
      </c>
      <c r="M17" s="48">
        <v>1689.98696032</v>
      </c>
      <c r="N17" s="45">
        <v>975.49190219000002</v>
      </c>
      <c r="O17" s="48">
        <v>0</v>
      </c>
      <c r="P17" s="45">
        <v>1.1646E-3</v>
      </c>
      <c r="Q17" s="48">
        <v>0</v>
      </c>
      <c r="R17" s="45">
        <v>0</v>
      </c>
      <c r="S17" s="48">
        <v>0</v>
      </c>
      <c r="T17" s="45">
        <v>1045.43821164</v>
      </c>
      <c r="U17" s="48">
        <v>-24.973978721929868</v>
      </c>
    </row>
    <row r="18" spans="1:21">
      <c r="A18" s="10">
        <v>2012</v>
      </c>
      <c r="B18" s="11" t="s">
        <v>105</v>
      </c>
      <c r="C18" s="41">
        <v>1856.3213081138801</v>
      </c>
      <c r="D18" s="42">
        <v>2272.4577169098802</v>
      </c>
      <c r="E18" s="43">
        <v>-416.13640879600001</v>
      </c>
      <c r="F18" s="42">
        <v>1001.0470333399999</v>
      </c>
      <c r="G18" s="43">
        <v>114.90561974000002</v>
      </c>
      <c r="H18" s="42">
        <v>300.79350226000003</v>
      </c>
      <c r="I18" s="43">
        <v>-185.88788252000001</v>
      </c>
      <c r="J18" s="42">
        <v>0</v>
      </c>
      <c r="K18" s="733"/>
      <c r="L18" s="43">
        <v>1972.1645864500001</v>
      </c>
      <c r="M18" s="44">
        <v>997.84082181999997</v>
      </c>
      <c r="N18" s="41">
        <v>974.32376463000003</v>
      </c>
      <c r="O18" s="44">
        <v>0</v>
      </c>
      <c r="P18" s="41">
        <v>1.2591936100000001</v>
      </c>
      <c r="Q18" s="44">
        <v>0</v>
      </c>
      <c r="R18" s="41">
        <v>0</v>
      </c>
      <c r="S18" s="44">
        <v>0</v>
      </c>
      <c r="T18" s="41">
        <v>1023.5100026599999</v>
      </c>
      <c r="U18" s="44">
        <v>-24.659821526119892</v>
      </c>
    </row>
    <row r="19" spans="1:21">
      <c r="A19" s="10"/>
      <c r="B19" s="11" t="s">
        <v>106</v>
      </c>
      <c r="C19" s="41">
        <v>1867.6603130472399</v>
      </c>
      <c r="D19" s="42">
        <v>2284.68895905524</v>
      </c>
      <c r="E19" s="43">
        <v>-417.02864600800001</v>
      </c>
      <c r="F19" s="42">
        <v>1122.91143253</v>
      </c>
      <c r="G19" s="43">
        <v>115.04219671000004</v>
      </c>
      <c r="H19" s="42">
        <v>300.82447958000006</v>
      </c>
      <c r="I19" s="43">
        <v>-185.78228287000002</v>
      </c>
      <c r="J19" s="42">
        <v>0</v>
      </c>
      <c r="K19" s="733"/>
      <c r="L19" s="43">
        <v>2101.7393385199998</v>
      </c>
      <c r="M19" s="44">
        <v>1125.6970962999999</v>
      </c>
      <c r="N19" s="41">
        <v>976.04224222000005</v>
      </c>
      <c r="O19" s="44">
        <v>0</v>
      </c>
      <c r="P19" s="41">
        <v>1.6078864399999999</v>
      </c>
      <c r="Q19" s="44">
        <v>0</v>
      </c>
      <c r="R19" s="41">
        <v>0</v>
      </c>
      <c r="S19" s="44">
        <v>0</v>
      </c>
      <c r="T19" s="41">
        <v>1027.3141662</v>
      </c>
      <c r="U19" s="44">
        <v>-25.047448872759748</v>
      </c>
    </row>
    <row r="20" spans="1:21">
      <c r="A20" s="10"/>
      <c r="B20" s="11" t="s">
        <v>107</v>
      </c>
      <c r="C20" s="41">
        <v>2345.7585307152399</v>
      </c>
      <c r="D20" s="42">
        <v>2770.1914895032401</v>
      </c>
      <c r="E20" s="43">
        <v>-424.43295878800001</v>
      </c>
      <c r="F20" s="42">
        <v>854.54140442000016</v>
      </c>
      <c r="G20" s="43">
        <v>114.90230099000001</v>
      </c>
      <c r="H20" s="42">
        <v>300.87742621000001</v>
      </c>
      <c r="I20" s="43">
        <v>-185.97512522</v>
      </c>
      <c r="J20" s="42">
        <v>0</v>
      </c>
      <c r="K20" s="733"/>
      <c r="L20" s="43">
        <v>2312.57026073</v>
      </c>
      <c r="M20" s="44">
        <v>1238.85499026</v>
      </c>
      <c r="N20" s="41">
        <v>1073.7152704700002</v>
      </c>
      <c r="O20" s="44">
        <v>0</v>
      </c>
      <c r="P20" s="41">
        <v>1.6481538900000001</v>
      </c>
      <c r="Q20" s="44">
        <v>0</v>
      </c>
      <c r="R20" s="41">
        <v>0</v>
      </c>
      <c r="S20" s="44">
        <v>0</v>
      </c>
      <c r="T20" s="41">
        <v>1025.9070016399999</v>
      </c>
      <c r="U20" s="44">
        <v>-24.923180134759914</v>
      </c>
    </row>
    <row r="21" spans="1:21">
      <c r="A21" s="10"/>
      <c r="B21" s="11" t="s">
        <v>108</v>
      </c>
      <c r="C21" s="41">
        <v>3445.6745407198</v>
      </c>
      <c r="D21" s="42">
        <v>3881.4441697597999</v>
      </c>
      <c r="E21" s="43">
        <v>-435.76962903999998</v>
      </c>
      <c r="F21" s="42">
        <v>735.16731888000004</v>
      </c>
      <c r="G21" s="43">
        <v>115.57609077999999</v>
      </c>
      <c r="H21" s="42">
        <v>300.79422216</v>
      </c>
      <c r="I21" s="43">
        <v>-185.21813138000002</v>
      </c>
      <c r="J21" s="42">
        <v>0</v>
      </c>
      <c r="K21" s="733"/>
      <c r="L21" s="43">
        <v>3294.1067054600007</v>
      </c>
      <c r="M21" s="44">
        <v>2346.5936323900005</v>
      </c>
      <c r="N21" s="41">
        <v>947.51307307000013</v>
      </c>
      <c r="O21" s="44">
        <v>0</v>
      </c>
      <c r="P21" s="41">
        <v>2.26494968</v>
      </c>
      <c r="Q21" s="44">
        <v>0</v>
      </c>
      <c r="R21" s="41">
        <v>0</v>
      </c>
      <c r="S21" s="44">
        <v>0</v>
      </c>
      <c r="T21" s="41">
        <v>1025.50049319</v>
      </c>
      <c r="U21" s="44">
        <v>-25.45419795019977</v>
      </c>
    </row>
    <row r="22" spans="1:21">
      <c r="A22" s="10"/>
      <c r="B22" s="11" t="s">
        <v>109</v>
      </c>
      <c r="C22" s="41">
        <v>3128.1287941284795</v>
      </c>
      <c r="D22" s="42">
        <v>3582.3900682404796</v>
      </c>
      <c r="E22" s="43">
        <v>-454.26127411199997</v>
      </c>
      <c r="F22" s="42">
        <v>773.56605048000006</v>
      </c>
      <c r="G22" s="43">
        <v>114.83444133</v>
      </c>
      <c r="H22" s="42">
        <v>300.78497333000001</v>
      </c>
      <c r="I22" s="43">
        <v>-185.95053200000001</v>
      </c>
      <c r="J22" s="42">
        <v>0</v>
      </c>
      <c r="K22" s="733"/>
      <c r="L22" s="43">
        <v>3011.3556813300002</v>
      </c>
      <c r="M22" s="44">
        <v>2062.0124522600004</v>
      </c>
      <c r="N22" s="41">
        <v>949.34322907000001</v>
      </c>
      <c r="O22" s="44">
        <v>0</v>
      </c>
      <c r="P22" s="41">
        <v>1.01206211</v>
      </c>
      <c r="Q22" s="44">
        <v>0</v>
      </c>
      <c r="R22" s="41">
        <v>0</v>
      </c>
      <c r="S22" s="44">
        <v>0</v>
      </c>
      <c r="T22" s="41">
        <v>1029.9997785200001</v>
      </c>
      <c r="U22" s="44">
        <v>-25.838236021519993</v>
      </c>
    </row>
    <row r="23" spans="1:21">
      <c r="A23" s="10"/>
      <c r="B23" s="11" t="s">
        <v>110</v>
      </c>
      <c r="C23" s="41">
        <v>3276.8983620384001</v>
      </c>
      <c r="D23" s="42">
        <v>3690.8196056608999</v>
      </c>
      <c r="E23" s="43">
        <v>-413.92124362249996</v>
      </c>
      <c r="F23" s="42">
        <v>705.50331916000016</v>
      </c>
      <c r="G23" s="43">
        <v>115.16643579999999</v>
      </c>
      <c r="H23" s="42">
        <v>300.78355188</v>
      </c>
      <c r="I23" s="43">
        <v>-185.61711608000002</v>
      </c>
      <c r="J23" s="42">
        <v>0</v>
      </c>
      <c r="K23" s="733"/>
      <c r="L23" s="43">
        <v>3090.6355994099999</v>
      </c>
      <c r="M23" s="44">
        <v>2125.1717992499998</v>
      </c>
      <c r="N23" s="41">
        <v>965.46380016000012</v>
      </c>
      <c r="O23" s="44">
        <v>0</v>
      </c>
      <c r="P23" s="41">
        <v>1.03760823</v>
      </c>
      <c r="Q23" s="44">
        <v>0</v>
      </c>
      <c r="R23" s="41">
        <v>0</v>
      </c>
      <c r="S23" s="44">
        <v>0</v>
      </c>
      <c r="T23" s="41">
        <v>1029.4654023200001</v>
      </c>
      <c r="U23" s="44">
        <v>-23.570492961599804</v>
      </c>
    </row>
    <row r="24" spans="1:21">
      <c r="A24" s="10"/>
      <c r="B24" s="11" t="s">
        <v>111</v>
      </c>
      <c r="C24" s="41">
        <v>3340.64980411848</v>
      </c>
      <c r="D24" s="42">
        <v>3750.4545973954801</v>
      </c>
      <c r="E24" s="43">
        <v>-409.80479327699999</v>
      </c>
      <c r="F24" s="42">
        <v>569.89511585000002</v>
      </c>
      <c r="G24" s="43">
        <v>116.62482639000004</v>
      </c>
      <c r="H24" s="42">
        <v>300.80325128000004</v>
      </c>
      <c r="I24" s="43">
        <v>-184.17842489</v>
      </c>
      <c r="J24" s="42">
        <v>0</v>
      </c>
      <c r="K24" s="733"/>
      <c r="L24" s="43">
        <v>3015.66758433</v>
      </c>
      <c r="M24" s="44">
        <v>2109.1354985899998</v>
      </c>
      <c r="N24" s="41">
        <v>906.53208574000007</v>
      </c>
      <c r="O24" s="44">
        <v>0</v>
      </c>
      <c r="P24" s="41">
        <v>0.64000813000000001</v>
      </c>
      <c r="Q24" s="44">
        <v>0</v>
      </c>
      <c r="R24" s="41">
        <v>0</v>
      </c>
      <c r="S24" s="44">
        <v>0</v>
      </c>
      <c r="T24" s="41">
        <v>1034.25371367</v>
      </c>
      <c r="U24" s="44">
        <v>-23.391559771519916</v>
      </c>
    </row>
    <row r="25" spans="1:21">
      <c r="A25" s="10"/>
      <c r="B25" s="11" t="s">
        <v>112</v>
      </c>
      <c r="C25" s="41">
        <v>3214.7970768767195</v>
      </c>
      <c r="D25" s="42">
        <v>3652.2978144972194</v>
      </c>
      <c r="E25" s="43">
        <v>-437.50073762049999</v>
      </c>
      <c r="F25" s="42">
        <v>468.14572414000003</v>
      </c>
      <c r="G25" s="43">
        <v>115.83287796000002</v>
      </c>
      <c r="H25" s="42">
        <v>300.75559171000003</v>
      </c>
      <c r="I25" s="43">
        <v>-184.92271375000001</v>
      </c>
      <c r="J25" s="42">
        <v>0</v>
      </c>
      <c r="K25" s="733"/>
      <c r="L25" s="43">
        <v>2782.28018918</v>
      </c>
      <c r="M25" s="44">
        <v>1848.6791668400001</v>
      </c>
      <c r="N25" s="41">
        <v>933.60102233999999</v>
      </c>
      <c r="O25" s="44">
        <v>0</v>
      </c>
      <c r="P25" s="41">
        <v>0.82019284000000003</v>
      </c>
      <c r="Q25" s="44">
        <v>0</v>
      </c>
      <c r="R25" s="41">
        <v>0</v>
      </c>
      <c r="S25" s="44">
        <v>0</v>
      </c>
      <c r="T25" s="41">
        <v>1038.24262</v>
      </c>
      <c r="U25" s="44">
        <v>-22.567323043279877</v>
      </c>
    </row>
    <row r="26" spans="1:21">
      <c r="A26" s="10"/>
      <c r="B26" s="11" t="s">
        <v>113</v>
      </c>
      <c r="C26" s="41">
        <v>3121.7844765166396</v>
      </c>
      <c r="D26" s="42">
        <v>3534.3835608076397</v>
      </c>
      <c r="E26" s="43">
        <v>-412.599084291</v>
      </c>
      <c r="F26" s="42">
        <v>362.26938223000002</v>
      </c>
      <c r="G26" s="43">
        <v>116.43838431</v>
      </c>
      <c r="H26" s="42">
        <v>300.93224156000002</v>
      </c>
      <c r="I26" s="43">
        <v>-184.49385725000002</v>
      </c>
      <c r="J26" s="42">
        <v>0</v>
      </c>
      <c r="K26" s="733"/>
      <c r="L26" s="43">
        <v>2585.6869949000002</v>
      </c>
      <c r="M26" s="44">
        <v>1623.7157459800001</v>
      </c>
      <c r="N26" s="41">
        <v>961.97124891999999</v>
      </c>
      <c r="O26" s="44">
        <v>0</v>
      </c>
      <c r="P26" s="41">
        <v>2.0411649000000001</v>
      </c>
      <c r="Q26" s="44">
        <v>0</v>
      </c>
      <c r="R26" s="41">
        <v>0</v>
      </c>
      <c r="S26" s="44">
        <v>0</v>
      </c>
      <c r="T26" s="41">
        <v>1036.4904885399999</v>
      </c>
      <c r="U26" s="44">
        <v>-23.726405283359941</v>
      </c>
    </row>
    <row r="27" spans="1:21">
      <c r="A27" s="10"/>
      <c r="B27" s="11" t="s">
        <v>114</v>
      </c>
      <c r="C27" s="41">
        <v>3387.9264966783999</v>
      </c>
      <c r="D27" s="42">
        <v>3901.6171619358997</v>
      </c>
      <c r="E27" s="43">
        <v>-513.69066525749997</v>
      </c>
      <c r="F27" s="42">
        <v>862.93372153000007</v>
      </c>
      <c r="G27" s="43">
        <v>-173.37961857000002</v>
      </c>
      <c r="H27" s="42">
        <v>1.01457888</v>
      </c>
      <c r="I27" s="43">
        <v>-174.39419745000001</v>
      </c>
      <c r="J27" s="42">
        <v>0</v>
      </c>
      <c r="K27" s="733"/>
      <c r="L27" s="43">
        <v>3049.2570830300001</v>
      </c>
      <c r="M27" s="44">
        <v>1610.3918332499998</v>
      </c>
      <c r="N27" s="41">
        <v>1438.8652497800001</v>
      </c>
      <c r="O27" s="44">
        <v>0</v>
      </c>
      <c r="P27" s="41">
        <v>2.1499839600000001</v>
      </c>
      <c r="Q27" s="44">
        <v>0</v>
      </c>
      <c r="R27" s="41">
        <v>0</v>
      </c>
      <c r="S27" s="44">
        <v>0</v>
      </c>
      <c r="T27" s="41">
        <v>1048.9642276299999</v>
      </c>
      <c r="U27" s="44">
        <v>-22.890694981600042</v>
      </c>
    </row>
    <row r="28" spans="1:21">
      <c r="A28" s="10"/>
      <c r="B28" s="11" t="s">
        <v>115</v>
      </c>
      <c r="C28" s="41">
        <v>3458.1119485478498</v>
      </c>
      <c r="D28" s="42">
        <v>3859.7739744493497</v>
      </c>
      <c r="E28" s="43">
        <v>-401.66202590149999</v>
      </c>
      <c r="F28" s="42">
        <v>416.33584031999999</v>
      </c>
      <c r="G28" s="43">
        <v>-173.33623679999999</v>
      </c>
      <c r="H28" s="42">
        <v>0.89509664999999994</v>
      </c>
      <c r="I28" s="43">
        <v>-174.23133344999999</v>
      </c>
      <c r="J28" s="42">
        <v>0</v>
      </c>
      <c r="K28" s="733"/>
      <c r="L28" s="43">
        <v>2670.62066757</v>
      </c>
      <c r="M28" s="44">
        <v>1499.1996628100001</v>
      </c>
      <c r="N28" s="41">
        <v>1171.42100476</v>
      </c>
      <c r="O28" s="44">
        <v>0</v>
      </c>
      <c r="P28" s="41">
        <v>1.3929147099999999</v>
      </c>
      <c r="Q28" s="44">
        <v>0</v>
      </c>
      <c r="R28" s="41">
        <v>0</v>
      </c>
      <c r="S28" s="44">
        <v>0</v>
      </c>
      <c r="T28" s="41">
        <v>1050.67298071</v>
      </c>
      <c r="U28" s="44">
        <v>-21.575010922149989</v>
      </c>
    </row>
    <row r="29" spans="1:21">
      <c r="A29" s="12"/>
      <c r="B29" s="13" t="s">
        <v>116</v>
      </c>
      <c r="C29" s="45">
        <v>3632.2703918577995</v>
      </c>
      <c r="D29" s="46">
        <v>4034.7454685897997</v>
      </c>
      <c r="E29" s="47">
        <v>-402.47507673199999</v>
      </c>
      <c r="F29" s="46">
        <v>423.45622731999998</v>
      </c>
      <c r="G29" s="47">
        <v>-69.517994709999982</v>
      </c>
      <c r="H29" s="46">
        <v>0.80319788999999997</v>
      </c>
      <c r="I29" s="47">
        <v>-70.321192599999989</v>
      </c>
      <c r="J29" s="46">
        <v>0</v>
      </c>
      <c r="K29" s="734"/>
      <c r="L29" s="47">
        <v>2887.0074831100001</v>
      </c>
      <c r="M29" s="48">
        <v>1627.0516923399998</v>
      </c>
      <c r="N29" s="45">
        <v>1259.95579077</v>
      </c>
      <c r="O29" s="48">
        <v>0</v>
      </c>
      <c r="P29" s="45">
        <v>1.12970343</v>
      </c>
      <c r="Q29" s="48">
        <v>0</v>
      </c>
      <c r="R29" s="45">
        <v>0</v>
      </c>
      <c r="S29" s="48">
        <v>0</v>
      </c>
      <c r="T29" s="45">
        <v>1159.4886831599999</v>
      </c>
      <c r="U29" s="48">
        <v>-61.417245232200038</v>
      </c>
    </row>
    <row r="30" spans="1:21">
      <c r="A30" s="659">
        <v>2013</v>
      </c>
      <c r="B30" s="660" t="s">
        <v>105</v>
      </c>
      <c r="C30" s="669">
        <v>3642.7953399878998</v>
      </c>
      <c r="D30" s="666">
        <v>4185.2294313688999</v>
      </c>
      <c r="E30" s="667">
        <v>-542.43409138099992</v>
      </c>
      <c r="F30" s="666">
        <v>767.93379588000005</v>
      </c>
      <c r="G30" s="667">
        <v>-77.082694169999996</v>
      </c>
      <c r="H30" s="666">
        <v>0.80654316000000015</v>
      </c>
      <c r="I30" s="667">
        <v>-77.88923733</v>
      </c>
      <c r="J30" s="666">
        <v>0</v>
      </c>
      <c r="K30" s="670"/>
      <c r="L30" s="666">
        <v>3208.5158969100003</v>
      </c>
      <c r="M30" s="665">
        <v>1621.20849008</v>
      </c>
      <c r="N30" s="668">
        <v>1587.30740683</v>
      </c>
      <c r="O30" s="665">
        <v>0</v>
      </c>
      <c r="P30" s="668">
        <v>0.23812221999999997</v>
      </c>
      <c r="Q30" s="665">
        <v>0</v>
      </c>
      <c r="R30" s="668">
        <v>0</v>
      </c>
      <c r="S30" s="665">
        <v>0</v>
      </c>
      <c r="T30" s="668">
        <v>1149.2121414800001</v>
      </c>
      <c r="U30" s="671">
        <v>-24.319718912099987</v>
      </c>
    </row>
    <row r="31" spans="1:21">
      <c r="A31" s="10"/>
      <c r="B31" s="11" t="s">
        <v>106</v>
      </c>
      <c r="C31" s="49">
        <v>3850.4715357878499</v>
      </c>
      <c r="D31" s="42">
        <v>4288.08575652935</v>
      </c>
      <c r="E31" s="43">
        <v>-437.61422074149993</v>
      </c>
      <c r="F31" s="42">
        <v>341.72350325999997</v>
      </c>
      <c r="G31" s="43">
        <v>-77.064923039999996</v>
      </c>
      <c r="H31" s="42">
        <v>0.82688576999999996</v>
      </c>
      <c r="I31" s="43">
        <v>-77.891808810000001</v>
      </c>
      <c r="J31" s="42">
        <v>0</v>
      </c>
      <c r="K31" s="29"/>
      <c r="L31" s="42">
        <v>2991.6558302699996</v>
      </c>
      <c r="M31" s="41">
        <v>1127.8270506799997</v>
      </c>
      <c r="N31" s="44">
        <v>1863.8287795900001</v>
      </c>
      <c r="O31" s="41">
        <v>0</v>
      </c>
      <c r="P31" s="44">
        <v>0.29488685999999997</v>
      </c>
      <c r="Q31" s="41">
        <v>0</v>
      </c>
      <c r="R31" s="44">
        <v>0</v>
      </c>
      <c r="S31" s="41">
        <v>0</v>
      </c>
      <c r="T31" s="44">
        <v>1149.2610062900001</v>
      </c>
      <c r="U31" s="50">
        <v>-26.081607412150085</v>
      </c>
    </row>
    <row r="32" spans="1:21">
      <c r="A32" s="12"/>
      <c r="B32" s="13" t="s">
        <v>107</v>
      </c>
      <c r="C32" s="51">
        <v>3950.2598966480004</v>
      </c>
      <c r="D32" s="46">
        <v>4439.2149678080004</v>
      </c>
      <c r="E32" s="47">
        <v>-488.95507115999999</v>
      </c>
      <c r="F32" s="46">
        <v>299.54775059000002</v>
      </c>
      <c r="G32" s="47">
        <v>-76.994341379999995</v>
      </c>
      <c r="H32" s="46">
        <v>0.89746743000000007</v>
      </c>
      <c r="I32" s="47">
        <v>-77.891808810000001</v>
      </c>
      <c r="J32" s="46">
        <v>0</v>
      </c>
      <c r="K32" s="52"/>
      <c r="L32" s="46">
        <v>3049.6751703299997</v>
      </c>
      <c r="M32" s="45">
        <v>1129.05858281</v>
      </c>
      <c r="N32" s="48">
        <v>1920.6165875199999</v>
      </c>
      <c r="O32" s="45">
        <v>0</v>
      </c>
      <c r="P32" s="48">
        <v>0.44955007999999996</v>
      </c>
      <c r="Q32" s="45">
        <v>0</v>
      </c>
      <c r="R32" s="48">
        <v>0</v>
      </c>
      <c r="S32" s="45">
        <v>0</v>
      </c>
      <c r="T32" s="48">
        <v>1149.0402788900001</v>
      </c>
      <c r="U32" s="53">
        <v>-26.351693441999998</v>
      </c>
    </row>
    <row r="33" spans="1:21">
      <c r="C33" s="32"/>
      <c r="D33" s="32"/>
      <c r="E33" s="32"/>
      <c r="F33" s="32"/>
      <c r="G33" s="32"/>
      <c r="H33" s="32"/>
      <c r="I33" s="32"/>
      <c r="J33" s="32"/>
      <c r="K33" s="32"/>
      <c r="L33" s="32"/>
      <c r="M33" s="32"/>
      <c r="N33" s="32"/>
      <c r="O33" s="32"/>
      <c r="P33" s="32"/>
      <c r="Q33" s="32"/>
      <c r="R33" s="32"/>
      <c r="S33" s="32"/>
      <c r="T33" s="32"/>
      <c r="U33" s="32"/>
    </row>
    <row r="34" spans="1:21">
      <c r="A34" s="6" t="s">
        <v>144</v>
      </c>
      <c r="C34" s="32"/>
      <c r="D34" s="32"/>
      <c r="E34" s="32"/>
      <c r="F34" s="32"/>
      <c r="G34" s="32"/>
      <c r="H34" s="32"/>
      <c r="I34" s="32"/>
      <c r="J34" s="32"/>
      <c r="K34" s="32"/>
      <c r="L34" s="32"/>
      <c r="M34" s="32"/>
      <c r="N34" s="32"/>
      <c r="O34" s="32"/>
      <c r="P34" s="32"/>
      <c r="Q34" s="32"/>
      <c r="R34" s="32"/>
      <c r="S34" s="32"/>
      <c r="T34" s="32"/>
      <c r="U34" s="32"/>
    </row>
    <row r="35" spans="1:21">
      <c r="A35" s="6" t="s">
        <v>145</v>
      </c>
      <c r="B35" s="6" t="s">
        <v>146</v>
      </c>
    </row>
    <row r="36" spans="1:21">
      <c r="A36" s="6" t="s">
        <v>147</v>
      </c>
      <c r="B36" s="6" t="s">
        <v>148</v>
      </c>
    </row>
    <row r="37" spans="1:21">
      <c r="A37" s="6" t="s">
        <v>149</v>
      </c>
      <c r="B37" s="6" t="s">
        <v>150</v>
      </c>
    </row>
    <row r="38" spans="1:21">
      <c r="A38" s="6" t="s">
        <v>151</v>
      </c>
      <c r="B38" s="6" t="s">
        <v>152</v>
      </c>
    </row>
    <row r="39" spans="1:21">
      <c r="A39" s="6" t="s">
        <v>153</v>
      </c>
      <c r="B39" s="6" t="s">
        <v>154</v>
      </c>
    </row>
    <row r="40" spans="1:21">
      <c r="A40" s="6" t="s">
        <v>155</v>
      </c>
      <c r="B40" s="6" t="s">
        <v>156</v>
      </c>
    </row>
    <row r="42" spans="1:21">
      <c r="A42" s="6" t="s">
        <v>119</v>
      </c>
    </row>
    <row r="43" spans="1:21">
      <c r="A43" s="6" t="s">
        <v>157</v>
      </c>
    </row>
    <row r="45" spans="1:21">
      <c r="A45" s="6" t="s">
        <v>126</v>
      </c>
    </row>
  </sheetData>
  <mergeCells count="14">
    <mergeCell ref="U4:U5"/>
    <mergeCell ref="A3:U3"/>
    <mergeCell ref="C4:E4"/>
    <mergeCell ref="G4:I4"/>
    <mergeCell ref="L4:O4"/>
    <mergeCell ref="P4:P5"/>
    <mergeCell ref="Q4:Q5"/>
    <mergeCell ref="R4:R5"/>
    <mergeCell ref="S4:S5"/>
    <mergeCell ref="T4:T5"/>
    <mergeCell ref="A4:B5"/>
    <mergeCell ref="F4:F5"/>
    <mergeCell ref="J4:J5"/>
    <mergeCell ref="K4:K29"/>
  </mergeCells>
  <pageMargins left="0.7" right="0.7" top="0.75" bottom="0.75" header="0.3" footer="0.3"/>
  <pageSetup scale="85" fitToHeight="0"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0"/>
  <sheetViews>
    <sheetView zoomScaleNormal="100" workbookViewId="0">
      <pane xSplit="2" ySplit="5" topLeftCell="C168" activePane="bottomRight" state="frozen"/>
      <selection pane="topRight" sqref="A1:G1"/>
      <selection pane="bottomLeft" sqref="A1:G1"/>
      <selection pane="bottomRight" sqref="A1:G1"/>
    </sheetView>
  </sheetViews>
  <sheetFormatPr defaultColWidth="9.1796875" defaultRowHeight="13"/>
  <cols>
    <col min="1" max="2" width="6.81640625" style="65" customWidth="1"/>
    <col min="3" max="5" width="13.81640625" style="65" customWidth="1"/>
    <col min="6" max="6" width="17.1796875" style="65" customWidth="1"/>
    <col min="7" max="8" width="13.81640625" style="65" customWidth="1"/>
    <col min="9" max="16384" width="9.1796875" style="65"/>
  </cols>
  <sheetData>
    <row r="1" spans="1:8" s="70" customFormat="1" ht="14">
      <c r="A1" s="716" t="s">
        <v>158</v>
      </c>
      <c r="B1" s="716"/>
      <c r="C1" s="716"/>
      <c r="D1" s="716"/>
      <c r="E1" s="716"/>
      <c r="F1" s="716"/>
      <c r="G1" s="716"/>
      <c r="H1" s="65"/>
    </row>
    <row r="2" spans="1:8" ht="15.75" customHeight="1">
      <c r="A2" s="718" t="s">
        <v>97</v>
      </c>
      <c r="B2" s="718"/>
      <c r="C2" s="718"/>
      <c r="D2" s="718"/>
      <c r="E2" s="718"/>
      <c r="F2" s="718"/>
      <c r="G2" s="718"/>
      <c r="H2" s="718"/>
    </row>
    <row r="3" spans="1:8" s="68" customFormat="1" ht="15.75" customHeight="1">
      <c r="A3" s="735" t="s">
        <v>98</v>
      </c>
      <c r="B3" s="739"/>
      <c r="C3" s="743" t="s">
        <v>159</v>
      </c>
      <c r="D3" s="746" t="s">
        <v>122</v>
      </c>
      <c r="E3" s="747"/>
      <c r="F3" s="747"/>
      <c r="G3" s="747"/>
      <c r="H3" s="748"/>
    </row>
    <row r="4" spans="1:8" s="68" customFormat="1" ht="15.75" customHeight="1">
      <c r="A4" s="740"/>
      <c r="B4" s="741"/>
      <c r="C4" s="744"/>
      <c r="D4" s="746" t="s">
        <v>160</v>
      </c>
      <c r="E4" s="747"/>
      <c r="F4" s="748"/>
      <c r="G4" s="735" t="s">
        <v>123</v>
      </c>
      <c r="H4" s="737" t="s">
        <v>102</v>
      </c>
    </row>
    <row r="5" spans="1:8" s="68" customFormat="1" ht="29">
      <c r="A5" s="736"/>
      <c r="B5" s="742"/>
      <c r="C5" s="745"/>
      <c r="D5" s="478" t="s">
        <v>161</v>
      </c>
      <c r="E5" s="478" t="s">
        <v>125</v>
      </c>
      <c r="F5" s="479" t="s">
        <v>102</v>
      </c>
      <c r="G5" s="736"/>
      <c r="H5" s="738"/>
    </row>
    <row r="6" spans="1:8" ht="14.5">
      <c r="A6" s="472">
        <v>2011</v>
      </c>
      <c r="B6" s="453" t="s">
        <v>105</v>
      </c>
      <c r="C6" s="123">
        <v>1002.21</v>
      </c>
      <c r="D6" s="124">
        <v>840.32</v>
      </c>
      <c r="E6" s="124">
        <v>2786.58</v>
      </c>
      <c r="F6" s="124">
        <f>D6+E6</f>
        <v>3626.9</v>
      </c>
      <c r="G6" s="124">
        <v>8704.3700000000008</v>
      </c>
      <c r="H6" s="125">
        <f>F6+G6</f>
        <v>12331.27</v>
      </c>
    </row>
    <row r="7" spans="1:8" ht="14.5">
      <c r="A7" s="472"/>
      <c r="B7" s="450" t="s">
        <v>106</v>
      </c>
      <c r="C7" s="123">
        <v>979.24</v>
      </c>
      <c r="D7" s="125">
        <v>804.56</v>
      </c>
      <c r="E7" s="125">
        <v>2860.59</v>
      </c>
      <c r="F7" s="125">
        <f>D7+E7</f>
        <v>3665.15</v>
      </c>
      <c r="G7" s="125">
        <v>8977.3700000000008</v>
      </c>
      <c r="H7" s="125">
        <f>F7+G7</f>
        <v>12642.52</v>
      </c>
    </row>
    <row r="8" spans="1:8" ht="14.5">
      <c r="A8" s="472"/>
      <c r="B8" s="450" t="s">
        <v>107</v>
      </c>
      <c r="C8" s="123">
        <v>949.85</v>
      </c>
      <c r="D8" s="125">
        <v>796.19</v>
      </c>
      <c r="E8" s="125">
        <v>3141.52</v>
      </c>
      <c r="F8" s="125">
        <f t="shared" ref="F8:F16" si="0">D8+E8</f>
        <v>3937.71</v>
      </c>
      <c r="G8" s="125">
        <v>9047.31</v>
      </c>
      <c r="H8" s="125">
        <f t="shared" ref="H8:H16" si="1">F8+G8</f>
        <v>12985.02</v>
      </c>
    </row>
    <row r="9" spans="1:8" ht="14.5">
      <c r="A9" s="472"/>
      <c r="B9" s="450" t="s">
        <v>108</v>
      </c>
      <c r="C9" s="123">
        <v>972.85</v>
      </c>
      <c r="D9" s="125">
        <v>819.85</v>
      </c>
      <c r="E9" s="125">
        <v>3095.67</v>
      </c>
      <c r="F9" s="125">
        <f t="shared" si="0"/>
        <v>3915.52</v>
      </c>
      <c r="G9" s="125">
        <v>9303.4699999999993</v>
      </c>
      <c r="H9" s="125">
        <f t="shared" si="1"/>
        <v>13218.99</v>
      </c>
    </row>
    <row r="10" spans="1:8" ht="14.5">
      <c r="A10" s="472"/>
      <c r="B10" s="450" t="s">
        <v>109</v>
      </c>
      <c r="C10" s="123">
        <v>971.09</v>
      </c>
      <c r="D10" s="125">
        <v>816.51</v>
      </c>
      <c r="E10" s="125">
        <v>3362.44</v>
      </c>
      <c r="F10" s="125">
        <f t="shared" si="0"/>
        <v>4178.95</v>
      </c>
      <c r="G10" s="125">
        <v>9279.59</v>
      </c>
      <c r="H10" s="125">
        <f t="shared" si="1"/>
        <v>13458.54</v>
      </c>
    </row>
    <row r="11" spans="1:8" ht="14.5">
      <c r="A11" s="472"/>
      <c r="B11" s="450" t="s">
        <v>110</v>
      </c>
      <c r="C11" s="123">
        <v>942.14</v>
      </c>
      <c r="D11" s="125">
        <v>788.43</v>
      </c>
      <c r="E11" s="125">
        <v>3070.29</v>
      </c>
      <c r="F11" s="125">
        <f t="shared" si="0"/>
        <v>3858.72</v>
      </c>
      <c r="G11" s="125">
        <v>9361.08</v>
      </c>
      <c r="H11" s="125">
        <f t="shared" si="1"/>
        <v>13219.8</v>
      </c>
    </row>
    <row r="12" spans="1:8" ht="14.5">
      <c r="A12" s="472"/>
      <c r="B12" s="450" t="s">
        <v>111</v>
      </c>
      <c r="C12" s="123">
        <v>953.03</v>
      </c>
      <c r="D12" s="125">
        <v>789.61</v>
      </c>
      <c r="E12" s="125">
        <v>2533.44</v>
      </c>
      <c r="F12" s="125">
        <f t="shared" si="0"/>
        <v>3323.05</v>
      </c>
      <c r="G12" s="125">
        <v>9836.33</v>
      </c>
      <c r="H12" s="125">
        <f t="shared" si="1"/>
        <v>13159.380000000001</v>
      </c>
    </row>
    <row r="13" spans="1:8" ht="14.5">
      <c r="A13" s="472"/>
      <c r="B13" s="450" t="s">
        <v>112</v>
      </c>
      <c r="C13" s="123">
        <v>970.83</v>
      </c>
      <c r="D13" s="125">
        <v>805.28</v>
      </c>
      <c r="E13" s="125">
        <v>2610.2600000000002</v>
      </c>
      <c r="F13" s="125">
        <f t="shared" si="0"/>
        <v>3415.54</v>
      </c>
      <c r="G13" s="125">
        <v>9663.58</v>
      </c>
      <c r="H13" s="125">
        <f t="shared" si="1"/>
        <v>13079.119999999999</v>
      </c>
    </row>
    <row r="14" spans="1:8" ht="14.5">
      <c r="A14" s="472"/>
      <c r="B14" s="450" t="s">
        <v>113</v>
      </c>
      <c r="C14" s="123">
        <v>915.2</v>
      </c>
      <c r="D14" s="125">
        <v>764.74</v>
      </c>
      <c r="E14" s="125">
        <v>2917.47</v>
      </c>
      <c r="F14" s="125">
        <f t="shared" si="0"/>
        <v>3682.21</v>
      </c>
      <c r="G14" s="125">
        <v>9386.07</v>
      </c>
      <c r="H14" s="125">
        <f t="shared" si="1"/>
        <v>13068.279999999999</v>
      </c>
    </row>
    <row r="15" spans="1:8" ht="14.5">
      <c r="A15" s="472"/>
      <c r="B15" s="450" t="s">
        <v>114</v>
      </c>
      <c r="C15" s="123">
        <v>1002.47</v>
      </c>
      <c r="D15" s="125">
        <v>767.54</v>
      </c>
      <c r="E15" s="125">
        <v>3340.92</v>
      </c>
      <c r="F15" s="125">
        <f t="shared" si="0"/>
        <v>4108.46</v>
      </c>
      <c r="G15" s="125">
        <v>9898.56</v>
      </c>
      <c r="H15" s="125">
        <f t="shared" si="1"/>
        <v>14007.02</v>
      </c>
    </row>
    <row r="16" spans="1:8" ht="14.5">
      <c r="A16" s="472"/>
      <c r="B16" s="450" t="s">
        <v>115</v>
      </c>
      <c r="C16" s="123">
        <v>1003.65</v>
      </c>
      <c r="D16" s="125">
        <v>772.54</v>
      </c>
      <c r="E16" s="125">
        <v>3190.91</v>
      </c>
      <c r="F16" s="125">
        <f t="shared" si="0"/>
        <v>3963.45</v>
      </c>
      <c r="G16" s="125">
        <v>9920.51</v>
      </c>
      <c r="H16" s="125">
        <f t="shared" si="1"/>
        <v>13883.96</v>
      </c>
    </row>
    <row r="17" spans="1:8" ht="14.5">
      <c r="A17" s="473"/>
      <c r="B17" s="452" t="s">
        <v>116</v>
      </c>
      <c r="C17" s="126">
        <v>1689.99</v>
      </c>
      <c r="D17" s="127">
        <v>831.06</v>
      </c>
      <c r="E17" s="127">
        <v>3402.43</v>
      </c>
      <c r="F17" s="127">
        <f>D17+E17</f>
        <v>4233.49</v>
      </c>
      <c r="G17" s="127">
        <v>9603.7000000000007</v>
      </c>
      <c r="H17" s="127">
        <f>F17+G17</f>
        <v>13837.19</v>
      </c>
    </row>
    <row r="18" spans="1:8" ht="14.5">
      <c r="A18" s="472">
        <v>2012</v>
      </c>
      <c r="B18" s="450" t="s">
        <v>105</v>
      </c>
      <c r="C18" s="123">
        <v>997.84</v>
      </c>
      <c r="D18" s="125">
        <v>820.16</v>
      </c>
      <c r="E18" s="125">
        <v>4938.08</v>
      </c>
      <c r="F18" s="125">
        <f>D18+E18</f>
        <v>5758.24</v>
      </c>
      <c r="G18" s="125">
        <v>9070.93</v>
      </c>
      <c r="H18" s="125">
        <f>F18+G18</f>
        <v>14829.17</v>
      </c>
    </row>
    <row r="19" spans="1:8" ht="14.5">
      <c r="A19" s="472"/>
      <c r="B19" s="450" t="s">
        <v>106</v>
      </c>
      <c r="C19" s="123">
        <v>1125.7</v>
      </c>
      <c r="D19" s="125">
        <v>807.77</v>
      </c>
      <c r="E19" s="125">
        <v>3210.9</v>
      </c>
      <c r="F19" s="125">
        <f>D19+E19</f>
        <v>4018.67</v>
      </c>
      <c r="G19" s="125">
        <v>9797.2099999999991</v>
      </c>
      <c r="H19" s="125">
        <f>F19+G19</f>
        <v>13815.88</v>
      </c>
    </row>
    <row r="20" spans="1:8" ht="14.5">
      <c r="A20" s="472"/>
      <c r="B20" s="450" t="s">
        <v>107</v>
      </c>
      <c r="C20" s="123">
        <v>1238.8499999999999</v>
      </c>
      <c r="D20" s="125">
        <v>798.77</v>
      </c>
      <c r="E20" s="125">
        <v>3686.72</v>
      </c>
      <c r="F20" s="125">
        <f t="shared" ref="F20:F28" si="2">D20+E20</f>
        <v>4485.49</v>
      </c>
      <c r="G20" s="125">
        <v>10009.11</v>
      </c>
      <c r="H20" s="125">
        <f t="shared" ref="H20:H28" si="3">F20+G20</f>
        <v>14494.6</v>
      </c>
    </row>
    <row r="21" spans="1:8" ht="14.5">
      <c r="A21" s="472"/>
      <c r="B21" s="450" t="s">
        <v>108</v>
      </c>
      <c r="C21" s="123">
        <v>2346.59</v>
      </c>
      <c r="D21" s="125">
        <v>790.93</v>
      </c>
      <c r="E21" s="125">
        <v>4301.37</v>
      </c>
      <c r="F21" s="125">
        <f t="shared" si="2"/>
        <v>5092.3</v>
      </c>
      <c r="G21" s="125">
        <v>9338.9500000000007</v>
      </c>
      <c r="H21" s="125">
        <f t="shared" si="3"/>
        <v>14431.25</v>
      </c>
    </row>
    <row r="22" spans="1:8" ht="14.5">
      <c r="A22" s="472"/>
      <c r="B22" s="450" t="s">
        <v>109</v>
      </c>
      <c r="C22" s="123">
        <v>2062.0100000000002</v>
      </c>
      <c r="D22" s="125">
        <v>845.09</v>
      </c>
      <c r="E22" s="125">
        <v>3508.7</v>
      </c>
      <c r="F22" s="125">
        <f t="shared" si="2"/>
        <v>4353.79</v>
      </c>
      <c r="G22" s="125">
        <v>9762.34</v>
      </c>
      <c r="H22" s="125">
        <f t="shared" si="3"/>
        <v>14116.130000000001</v>
      </c>
    </row>
    <row r="23" spans="1:8" ht="14.5">
      <c r="A23" s="472"/>
      <c r="B23" s="450" t="s">
        <v>110</v>
      </c>
      <c r="C23" s="123">
        <v>2125.17</v>
      </c>
      <c r="D23" s="125">
        <v>886.91</v>
      </c>
      <c r="E23" s="125">
        <v>3480.08</v>
      </c>
      <c r="F23" s="125">
        <f t="shared" si="2"/>
        <v>4366.99</v>
      </c>
      <c r="G23" s="125">
        <v>9440.75</v>
      </c>
      <c r="H23" s="125">
        <f t="shared" si="3"/>
        <v>13807.74</v>
      </c>
    </row>
    <row r="24" spans="1:8" ht="14.5">
      <c r="A24" s="472"/>
      <c r="B24" s="450" t="s">
        <v>111</v>
      </c>
      <c r="C24" s="123">
        <v>2109.14</v>
      </c>
      <c r="D24" s="125">
        <v>896.84</v>
      </c>
      <c r="E24" s="125">
        <v>3764.23</v>
      </c>
      <c r="F24" s="125">
        <f t="shared" si="2"/>
        <v>4661.07</v>
      </c>
      <c r="G24" s="125">
        <v>9629.68</v>
      </c>
      <c r="H24" s="125">
        <f t="shared" si="3"/>
        <v>14290.75</v>
      </c>
    </row>
    <row r="25" spans="1:8" ht="14.5">
      <c r="A25" s="472"/>
      <c r="B25" s="450" t="s">
        <v>112</v>
      </c>
      <c r="C25" s="123">
        <v>1848.68</v>
      </c>
      <c r="D25" s="125">
        <v>1086.67</v>
      </c>
      <c r="E25" s="125">
        <v>3596.58</v>
      </c>
      <c r="F25" s="125">
        <f t="shared" si="2"/>
        <v>4683.25</v>
      </c>
      <c r="G25" s="125">
        <v>9465.9500000000007</v>
      </c>
      <c r="H25" s="125">
        <f t="shared" si="3"/>
        <v>14149.2</v>
      </c>
    </row>
    <row r="26" spans="1:8" ht="14.5">
      <c r="A26" s="472"/>
      <c r="B26" s="450" t="s">
        <v>113</v>
      </c>
      <c r="C26" s="123">
        <v>1623.72</v>
      </c>
      <c r="D26" s="125">
        <v>960.67</v>
      </c>
      <c r="E26" s="125">
        <v>3523.2</v>
      </c>
      <c r="F26" s="125">
        <f t="shared" si="2"/>
        <v>4483.87</v>
      </c>
      <c r="G26" s="125">
        <v>9524.06</v>
      </c>
      <c r="H26" s="125">
        <f t="shared" si="3"/>
        <v>14007.93</v>
      </c>
    </row>
    <row r="27" spans="1:8" ht="14.5">
      <c r="A27" s="472"/>
      <c r="B27" s="450" t="s">
        <v>114</v>
      </c>
      <c r="C27" s="123">
        <v>1610.39</v>
      </c>
      <c r="D27" s="125">
        <v>945.73</v>
      </c>
      <c r="E27" s="125">
        <v>3642.35</v>
      </c>
      <c r="F27" s="125">
        <f t="shared" si="2"/>
        <v>4588.08</v>
      </c>
      <c r="G27" s="125">
        <v>10314.58</v>
      </c>
      <c r="H27" s="125">
        <f t="shared" si="3"/>
        <v>14902.66</v>
      </c>
    </row>
    <row r="28" spans="1:8" ht="14.5">
      <c r="A28" s="472"/>
      <c r="B28" s="450" t="s">
        <v>115</v>
      </c>
      <c r="C28" s="123">
        <v>1499.2</v>
      </c>
      <c r="D28" s="125">
        <v>854.49</v>
      </c>
      <c r="E28" s="125">
        <v>3869.83</v>
      </c>
      <c r="F28" s="125">
        <f t="shared" si="2"/>
        <v>4724.32</v>
      </c>
      <c r="G28" s="125">
        <v>9719.23</v>
      </c>
      <c r="H28" s="125">
        <f t="shared" si="3"/>
        <v>14443.55</v>
      </c>
    </row>
    <row r="29" spans="1:8" ht="14.5">
      <c r="A29" s="472"/>
      <c r="B29" s="450" t="s">
        <v>116</v>
      </c>
      <c r="C29" s="123">
        <v>1627.05</v>
      </c>
      <c r="D29" s="125">
        <v>926.02</v>
      </c>
      <c r="E29" s="125">
        <v>3367.36</v>
      </c>
      <c r="F29" s="125">
        <f>D29+E29</f>
        <v>4293.38</v>
      </c>
      <c r="G29" s="125">
        <v>9668.2099999999991</v>
      </c>
      <c r="H29" s="125">
        <f>F29+G29</f>
        <v>13961.59</v>
      </c>
    </row>
    <row r="30" spans="1:8" ht="14.5">
      <c r="A30" s="471">
        <v>2013</v>
      </c>
      <c r="B30" s="453" t="s">
        <v>105</v>
      </c>
      <c r="C30" s="128">
        <v>1621.21</v>
      </c>
      <c r="D30" s="128">
        <v>891.64</v>
      </c>
      <c r="E30" s="128">
        <v>3029.84</v>
      </c>
      <c r="F30" s="128">
        <f>D30+E30</f>
        <v>3921.48</v>
      </c>
      <c r="G30" s="128">
        <v>10085.14</v>
      </c>
      <c r="H30" s="128">
        <f>F30+G30</f>
        <v>14006.619999999999</v>
      </c>
    </row>
    <row r="31" spans="1:8" ht="14.5">
      <c r="A31" s="472"/>
      <c r="B31" s="450" t="s">
        <v>106</v>
      </c>
      <c r="C31" s="123">
        <v>1127.83</v>
      </c>
      <c r="D31" s="123">
        <v>944.43</v>
      </c>
      <c r="E31" s="123">
        <v>3439.27</v>
      </c>
      <c r="F31" s="123">
        <f>D31+E31</f>
        <v>4383.7</v>
      </c>
      <c r="G31" s="123">
        <v>10001.27</v>
      </c>
      <c r="H31" s="123">
        <f>F31+G31</f>
        <v>14384.970000000001</v>
      </c>
    </row>
    <row r="32" spans="1:8" ht="14.5">
      <c r="A32" s="472"/>
      <c r="B32" s="450" t="s">
        <v>107</v>
      </c>
      <c r="C32" s="123">
        <v>1129.06</v>
      </c>
      <c r="D32" s="123">
        <v>947.1</v>
      </c>
      <c r="E32" s="123">
        <v>3215.77</v>
      </c>
      <c r="F32" s="123">
        <f t="shared" ref="F32:F40" si="4">D32+E32</f>
        <v>4162.87</v>
      </c>
      <c r="G32" s="123">
        <v>9899.08</v>
      </c>
      <c r="H32" s="123">
        <f t="shared" ref="H32:H40" si="5">F32+G32</f>
        <v>14061.95</v>
      </c>
    </row>
    <row r="33" spans="1:8" ht="14.5">
      <c r="A33" s="472"/>
      <c r="B33" s="450" t="s">
        <v>108</v>
      </c>
      <c r="C33" s="123">
        <v>1129.77</v>
      </c>
      <c r="D33" s="123">
        <v>936.08</v>
      </c>
      <c r="E33" s="123">
        <v>3423.46</v>
      </c>
      <c r="F33" s="123">
        <f t="shared" si="4"/>
        <v>4359.54</v>
      </c>
      <c r="G33" s="123">
        <v>9966.2999999999993</v>
      </c>
      <c r="H33" s="123">
        <f t="shared" si="5"/>
        <v>14325.84</v>
      </c>
    </row>
    <row r="34" spans="1:8" ht="14.5">
      <c r="A34" s="472"/>
      <c r="B34" s="450" t="s">
        <v>109</v>
      </c>
      <c r="C34" s="123">
        <v>1146.26</v>
      </c>
      <c r="D34" s="123">
        <v>957.28</v>
      </c>
      <c r="E34" s="123">
        <v>3560.78</v>
      </c>
      <c r="F34" s="123">
        <f t="shared" si="4"/>
        <v>4518.0600000000004</v>
      </c>
      <c r="G34" s="123">
        <v>9937.89</v>
      </c>
      <c r="H34" s="123">
        <f t="shared" si="5"/>
        <v>14455.95</v>
      </c>
    </row>
    <row r="35" spans="1:8" ht="14.5">
      <c r="A35" s="472"/>
      <c r="B35" s="450" t="s">
        <v>110</v>
      </c>
      <c r="C35" s="123">
        <v>1140.3900000000001</v>
      </c>
      <c r="D35" s="123">
        <v>967.79</v>
      </c>
      <c r="E35" s="123">
        <v>3458.96</v>
      </c>
      <c r="F35" s="123">
        <f t="shared" si="4"/>
        <v>4426.75</v>
      </c>
      <c r="G35" s="123">
        <v>9871.41</v>
      </c>
      <c r="H35" s="123">
        <f t="shared" si="5"/>
        <v>14298.16</v>
      </c>
    </row>
    <row r="36" spans="1:8" ht="14.5">
      <c r="A36" s="472"/>
      <c r="B36" s="450" t="s">
        <v>117</v>
      </c>
      <c r="C36" s="123">
        <v>1161.6199999999999</v>
      </c>
      <c r="D36" s="123">
        <v>962.76</v>
      </c>
      <c r="E36" s="123">
        <v>3734.39</v>
      </c>
      <c r="F36" s="123">
        <f t="shared" si="4"/>
        <v>4697.1499999999996</v>
      </c>
      <c r="G36" s="123">
        <v>9859.32</v>
      </c>
      <c r="H36" s="123">
        <f t="shared" si="5"/>
        <v>14556.47</v>
      </c>
    </row>
    <row r="37" spans="1:8" ht="14.5">
      <c r="A37" s="472"/>
      <c r="B37" s="450" t="s">
        <v>112</v>
      </c>
      <c r="C37" s="123">
        <v>1093.46</v>
      </c>
      <c r="D37" s="123">
        <v>921.48</v>
      </c>
      <c r="E37" s="123">
        <v>3561.96</v>
      </c>
      <c r="F37" s="123">
        <f t="shared" si="4"/>
        <v>4483.4400000000005</v>
      </c>
      <c r="G37" s="123">
        <v>10244.129999999999</v>
      </c>
      <c r="H37" s="123">
        <f t="shared" si="5"/>
        <v>14727.57</v>
      </c>
    </row>
    <row r="38" spans="1:8" ht="14.5">
      <c r="A38" s="472"/>
      <c r="B38" s="450" t="s">
        <v>113</v>
      </c>
      <c r="C38" s="123">
        <v>1095.92</v>
      </c>
      <c r="D38" s="123">
        <v>904.87</v>
      </c>
      <c r="E38" s="123">
        <v>3675.94</v>
      </c>
      <c r="F38" s="123">
        <f t="shared" si="4"/>
        <v>4580.8100000000004</v>
      </c>
      <c r="G38" s="123">
        <v>9886.83</v>
      </c>
      <c r="H38" s="123">
        <f t="shared" si="5"/>
        <v>14467.64</v>
      </c>
    </row>
    <row r="39" spans="1:8" ht="14.5">
      <c r="A39" s="472"/>
      <c r="B39" s="450" t="s">
        <v>114</v>
      </c>
      <c r="C39" s="123">
        <v>1090.96</v>
      </c>
      <c r="D39" s="123">
        <v>910.25</v>
      </c>
      <c r="E39" s="123">
        <v>3744.42</v>
      </c>
      <c r="F39" s="123">
        <f t="shared" si="4"/>
        <v>4654.67</v>
      </c>
      <c r="G39" s="123">
        <v>10087.34</v>
      </c>
      <c r="H39" s="123">
        <f t="shared" si="5"/>
        <v>14742.01</v>
      </c>
    </row>
    <row r="40" spans="1:8" ht="14.5">
      <c r="A40" s="472"/>
      <c r="B40" s="450" t="s">
        <v>115</v>
      </c>
      <c r="C40" s="123">
        <v>1106.08</v>
      </c>
      <c r="D40" s="123">
        <v>926.48</v>
      </c>
      <c r="E40" s="123">
        <v>3581.21</v>
      </c>
      <c r="F40" s="123">
        <f t="shared" si="4"/>
        <v>4507.6900000000005</v>
      </c>
      <c r="G40" s="123">
        <v>9873.6200000000008</v>
      </c>
      <c r="H40" s="123">
        <f t="shared" si="5"/>
        <v>14381.310000000001</v>
      </c>
    </row>
    <row r="41" spans="1:8" ht="14.5">
      <c r="A41" s="473"/>
      <c r="B41" s="452" t="s">
        <v>116</v>
      </c>
      <c r="C41" s="126">
        <v>1219.73</v>
      </c>
      <c r="D41" s="126">
        <v>977.52</v>
      </c>
      <c r="E41" s="126">
        <v>3487.06</v>
      </c>
      <c r="F41" s="126">
        <f>D41+E41</f>
        <v>4464.58</v>
      </c>
      <c r="G41" s="126">
        <v>9701.73</v>
      </c>
      <c r="H41" s="126">
        <f>F41+G41</f>
        <v>14166.31</v>
      </c>
    </row>
    <row r="42" spans="1:8" ht="14.5">
      <c r="A42" s="471">
        <v>2014</v>
      </c>
      <c r="B42" s="454" t="s">
        <v>105</v>
      </c>
      <c r="C42" s="124">
        <v>1183.1199999999999</v>
      </c>
      <c r="D42" s="129">
        <v>982.67</v>
      </c>
      <c r="E42" s="124">
        <v>3615.96</v>
      </c>
      <c r="F42" s="129">
        <f>D42+E42</f>
        <v>4598.63</v>
      </c>
      <c r="G42" s="124">
        <v>9866.35</v>
      </c>
      <c r="H42" s="128">
        <f>F42+G42</f>
        <v>14464.98</v>
      </c>
    </row>
    <row r="43" spans="1:8" ht="14.5">
      <c r="A43" s="472"/>
      <c r="B43" s="455" t="s">
        <v>106</v>
      </c>
      <c r="C43" s="125">
        <v>1169.69</v>
      </c>
      <c r="D43" s="130">
        <v>961.16</v>
      </c>
      <c r="E43" s="125">
        <v>4005.14</v>
      </c>
      <c r="F43" s="130">
        <f>D43+E43</f>
        <v>4966.3</v>
      </c>
      <c r="G43" s="125">
        <v>9348.0499999999993</v>
      </c>
      <c r="H43" s="123">
        <f>F43+G43</f>
        <v>14314.349999999999</v>
      </c>
    </row>
    <row r="44" spans="1:8" ht="14.5">
      <c r="A44" s="472"/>
      <c r="B44" s="455" t="s">
        <v>107</v>
      </c>
      <c r="C44" s="125">
        <v>1165.98</v>
      </c>
      <c r="D44" s="130">
        <v>960.62</v>
      </c>
      <c r="E44" s="125">
        <v>4105.3900000000003</v>
      </c>
      <c r="F44" s="130">
        <f t="shared" ref="F44:F52" si="6">D44+E44</f>
        <v>5066.01</v>
      </c>
      <c r="G44" s="125">
        <v>9275.2999999999993</v>
      </c>
      <c r="H44" s="123">
        <f t="shared" ref="H44:H52" si="7">F44+G44</f>
        <v>14341.31</v>
      </c>
    </row>
    <row r="45" spans="1:8" ht="14.5">
      <c r="A45" s="472"/>
      <c r="B45" s="455" t="s">
        <v>108</v>
      </c>
      <c r="C45" s="125">
        <v>1145.43</v>
      </c>
      <c r="D45" s="130">
        <v>950.83</v>
      </c>
      <c r="E45" s="125">
        <v>3523.92</v>
      </c>
      <c r="F45" s="130">
        <f t="shared" si="6"/>
        <v>4474.75</v>
      </c>
      <c r="G45" s="125">
        <v>10019.700000000001</v>
      </c>
      <c r="H45" s="123">
        <f t="shared" si="7"/>
        <v>14494.45</v>
      </c>
    </row>
    <row r="46" spans="1:8" ht="14.5">
      <c r="A46" s="472"/>
      <c r="B46" s="455" t="s">
        <v>109</v>
      </c>
      <c r="C46" s="125">
        <v>1156.6099999999999</v>
      </c>
      <c r="D46" s="130">
        <v>972.58</v>
      </c>
      <c r="E46" s="125">
        <v>3656.15</v>
      </c>
      <c r="F46" s="130">
        <f t="shared" si="6"/>
        <v>4628.7300000000005</v>
      </c>
      <c r="G46" s="125">
        <v>9757.56</v>
      </c>
      <c r="H46" s="123">
        <f t="shared" si="7"/>
        <v>14386.29</v>
      </c>
    </row>
    <row r="47" spans="1:8" ht="14.5">
      <c r="A47" s="472"/>
      <c r="B47" s="455" t="s">
        <v>110</v>
      </c>
      <c r="C47" s="125">
        <v>1202.1199999999999</v>
      </c>
      <c r="D47" s="130">
        <v>1028.57</v>
      </c>
      <c r="E47" s="125">
        <v>3502.95</v>
      </c>
      <c r="F47" s="130">
        <f t="shared" si="6"/>
        <v>4531.5199999999995</v>
      </c>
      <c r="G47" s="125">
        <v>10778.32</v>
      </c>
      <c r="H47" s="123">
        <f t="shared" si="7"/>
        <v>15309.84</v>
      </c>
    </row>
    <row r="48" spans="1:8" ht="14.5">
      <c r="A48" s="472"/>
      <c r="B48" s="455" t="s">
        <v>117</v>
      </c>
      <c r="C48" s="125">
        <v>1245.45</v>
      </c>
      <c r="D48" s="130">
        <v>1025.98</v>
      </c>
      <c r="E48" s="125">
        <v>3607.53</v>
      </c>
      <c r="F48" s="130">
        <f t="shared" si="6"/>
        <v>4633.51</v>
      </c>
      <c r="G48" s="125">
        <v>10524.54</v>
      </c>
      <c r="H48" s="123">
        <f t="shared" si="7"/>
        <v>15158.050000000001</v>
      </c>
    </row>
    <row r="49" spans="1:8" ht="14.5">
      <c r="A49" s="472"/>
      <c r="B49" s="455" t="s">
        <v>112</v>
      </c>
      <c r="C49" s="125">
        <v>1165.5</v>
      </c>
      <c r="D49" s="130">
        <v>996.76</v>
      </c>
      <c r="E49" s="125">
        <v>3609.46</v>
      </c>
      <c r="F49" s="130">
        <f t="shared" si="6"/>
        <v>4606.22</v>
      </c>
      <c r="G49" s="125">
        <v>9759.9599999999991</v>
      </c>
      <c r="H49" s="123">
        <f t="shared" si="7"/>
        <v>14366.18</v>
      </c>
    </row>
    <row r="50" spans="1:8" ht="14.5">
      <c r="A50" s="472"/>
      <c r="B50" s="455" t="s">
        <v>113</v>
      </c>
      <c r="C50" s="125">
        <v>1186.72</v>
      </c>
      <c r="D50" s="130">
        <v>983.06</v>
      </c>
      <c r="E50" s="125">
        <v>3458.41</v>
      </c>
      <c r="F50" s="130">
        <f t="shared" si="6"/>
        <v>4441.4699999999993</v>
      </c>
      <c r="G50" s="125">
        <v>9858.25</v>
      </c>
      <c r="H50" s="123">
        <f t="shared" si="7"/>
        <v>14299.72</v>
      </c>
    </row>
    <row r="51" spans="1:8" ht="14.5">
      <c r="A51" s="472"/>
      <c r="B51" s="455" t="s">
        <v>114</v>
      </c>
      <c r="C51" s="125">
        <v>1155.6500000000001</v>
      </c>
      <c r="D51" s="130">
        <v>974.01</v>
      </c>
      <c r="E51" s="125">
        <v>3391.04</v>
      </c>
      <c r="F51" s="130">
        <f t="shared" si="6"/>
        <v>4365.05</v>
      </c>
      <c r="G51" s="125">
        <v>10040.129999999999</v>
      </c>
      <c r="H51" s="123">
        <f t="shared" si="7"/>
        <v>14405.18</v>
      </c>
    </row>
    <row r="52" spans="1:8" ht="14.5">
      <c r="A52" s="472"/>
      <c r="B52" s="455" t="s">
        <v>115</v>
      </c>
      <c r="C52" s="125">
        <v>1148.3900000000001</v>
      </c>
      <c r="D52" s="130">
        <v>984.54</v>
      </c>
      <c r="E52" s="125">
        <v>3533.79</v>
      </c>
      <c r="F52" s="130">
        <f t="shared" si="6"/>
        <v>4518.33</v>
      </c>
      <c r="G52" s="125">
        <v>9980.3799999999992</v>
      </c>
      <c r="H52" s="123">
        <f t="shared" si="7"/>
        <v>14498.71</v>
      </c>
    </row>
    <row r="53" spans="1:8" ht="14.5">
      <c r="A53" s="473"/>
      <c r="B53" s="456" t="s">
        <v>116</v>
      </c>
      <c r="C53" s="127">
        <v>1271.71</v>
      </c>
      <c r="D53" s="131">
        <v>1021.04</v>
      </c>
      <c r="E53" s="127">
        <v>3375.08</v>
      </c>
      <c r="F53" s="131">
        <f>D53+E53</f>
        <v>4396.12</v>
      </c>
      <c r="G53" s="127">
        <v>10226.5</v>
      </c>
      <c r="H53" s="126">
        <f>F53+G53</f>
        <v>14622.619999999999</v>
      </c>
    </row>
    <row r="54" spans="1:8" ht="14.5">
      <c r="A54" s="472">
        <v>2015</v>
      </c>
      <c r="B54" s="455" t="s">
        <v>105</v>
      </c>
      <c r="C54" s="125">
        <v>1183.99</v>
      </c>
      <c r="D54" s="130">
        <v>1002.6</v>
      </c>
      <c r="E54" s="125">
        <v>3387.56</v>
      </c>
      <c r="F54" s="130">
        <f>D54+E54</f>
        <v>4390.16</v>
      </c>
      <c r="G54" s="124">
        <v>10068.32</v>
      </c>
      <c r="H54" s="123">
        <f>F54+G54</f>
        <v>14458.48</v>
      </c>
    </row>
    <row r="55" spans="1:8" ht="14.5">
      <c r="A55" s="472"/>
      <c r="B55" s="450" t="s">
        <v>106</v>
      </c>
      <c r="C55" s="125">
        <v>1228.76</v>
      </c>
      <c r="D55" s="125">
        <v>1027.96</v>
      </c>
      <c r="E55" s="125">
        <v>4023.09</v>
      </c>
      <c r="F55" s="125">
        <f>D55+E55</f>
        <v>5051.05</v>
      </c>
      <c r="G55" s="125">
        <v>10133.36</v>
      </c>
      <c r="H55" s="125">
        <f>F55+G55</f>
        <v>15184.41</v>
      </c>
    </row>
    <row r="56" spans="1:8" ht="14.5">
      <c r="A56" s="472"/>
      <c r="B56" s="450" t="s">
        <v>107</v>
      </c>
      <c r="C56" s="125">
        <v>1204.8599999999999</v>
      </c>
      <c r="D56" s="125">
        <v>1013.09</v>
      </c>
      <c r="E56" s="125">
        <v>4022.83</v>
      </c>
      <c r="F56" s="125">
        <f t="shared" ref="F56:F64" si="8">D56+E56</f>
        <v>5035.92</v>
      </c>
      <c r="G56" s="125">
        <v>10117.36</v>
      </c>
      <c r="H56" s="125">
        <f t="shared" ref="H56:H64" si="9">F56+G56</f>
        <v>15153.28</v>
      </c>
    </row>
    <row r="57" spans="1:8" ht="14.5">
      <c r="A57" s="472"/>
      <c r="B57" s="455" t="s">
        <v>108</v>
      </c>
      <c r="C57" s="123">
        <v>1193.3800000000001</v>
      </c>
      <c r="D57" s="125">
        <v>994.35</v>
      </c>
      <c r="E57" s="125">
        <v>3536.38</v>
      </c>
      <c r="F57" s="125">
        <f t="shared" si="8"/>
        <v>4530.7300000000005</v>
      </c>
      <c r="G57" s="125">
        <v>10046.07</v>
      </c>
      <c r="H57" s="125">
        <f t="shared" si="9"/>
        <v>14576.8</v>
      </c>
    </row>
    <row r="58" spans="1:8" ht="14.5">
      <c r="A58" s="472"/>
      <c r="B58" s="455" t="s">
        <v>109</v>
      </c>
      <c r="C58" s="123">
        <v>1225.27</v>
      </c>
      <c r="D58" s="125">
        <v>1014.87</v>
      </c>
      <c r="E58" s="125">
        <v>3491.45</v>
      </c>
      <c r="F58" s="125">
        <f t="shared" si="8"/>
        <v>4506.32</v>
      </c>
      <c r="G58" s="125">
        <v>9833.26</v>
      </c>
      <c r="H58" s="125">
        <f t="shared" si="9"/>
        <v>14339.58</v>
      </c>
    </row>
    <row r="59" spans="1:8" ht="14.5">
      <c r="A59" s="472"/>
      <c r="B59" s="450" t="s">
        <v>110</v>
      </c>
      <c r="C59" s="125">
        <v>1234.6500000000001</v>
      </c>
      <c r="D59" s="125">
        <v>1012.12</v>
      </c>
      <c r="E59" s="125">
        <v>3615.77</v>
      </c>
      <c r="F59" s="125">
        <f t="shared" si="8"/>
        <v>4627.8900000000003</v>
      </c>
      <c r="G59" s="125">
        <v>9791.86</v>
      </c>
      <c r="H59" s="125">
        <f t="shared" si="9"/>
        <v>14419.75</v>
      </c>
    </row>
    <row r="60" spans="1:8" ht="14.5">
      <c r="A60" s="480"/>
      <c r="B60" s="455" t="s">
        <v>117</v>
      </c>
      <c r="C60" s="123">
        <v>1214.4000000000001</v>
      </c>
      <c r="D60" s="125">
        <v>980.48</v>
      </c>
      <c r="E60" s="125">
        <v>3646.41</v>
      </c>
      <c r="F60" s="125">
        <f t="shared" si="8"/>
        <v>4626.8899999999994</v>
      </c>
      <c r="G60" s="125">
        <v>9911.1299999999992</v>
      </c>
      <c r="H60" s="125">
        <f t="shared" si="9"/>
        <v>14538.019999999999</v>
      </c>
    </row>
    <row r="61" spans="1:8" ht="14.5">
      <c r="A61" s="480"/>
      <c r="B61" s="455" t="s">
        <v>112</v>
      </c>
      <c r="C61" s="123">
        <v>1203.97</v>
      </c>
      <c r="D61" s="125">
        <v>976.13</v>
      </c>
      <c r="E61" s="125">
        <v>3598.12</v>
      </c>
      <c r="F61" s="125">
        <f t="shared" si="8"/>
        <v>4574.25</v>
      </c>
      <c r="G61" s="125">
        <v>9868.43</v>
      </c>
      <c r="H61" s="125">
        <f t="shared" si="9"/>
        <v>14442.68</v>
      </c>
    </row>
    <row r="62" spans="1:8" ht="14.5">
      <c r="A62" s="480"/>
      <c r="B62" s="450" t="s">
        <v>113</v>
      </c>
      <c r="C62" s="123">
        <v>1193.3699999999999</v>
      </c>
      <c r="D62" s="125">
        <v>973.6</v>
      </c>
      <c r="E62" s="125">
        <v>4411.42</v>
      </c>
      <c r="F62" s="125">
        <f t="shared" si="8"/>
        <v>5385.02</v>
      </c>
      <c r="G62" s="125">
        <v>9885.18</v>
      </c>
      <c r="H62" s="125">
        <f t="shared" si="9"/>
        <v>15270.2</v>
      </c>
    </row>
    <row r="63" spans="1:8" ht="14.5">
      <c r="A63" s="480"/>
      <c r="B63" s="455" t="s">
        <v>114</v>
      </c>
      <c r="C63" s="123">
        <v>1203.49</v>
      </c>
      <c r="D63" s="123">
        <v>992.34</v>
      </c>
      <c r="E63" s="123">
        <v>3616.1</v>
      </c>
      <c r="F63" s="125">
        <f t="shared" si="8"/>
        <v>4608.4399999999996</v>
      </c>
      <c r="G63" s="123">
        <v>10055.08</v>
      </c>
      <c r="H63" s="125">
        <f t="shared" si="9"/>
        <v>14663.52</v>
      </c>
    </row>
    <row r="64" spans="1:8" ht="14.5">
      <c r="A64" s="480"/>
      <c r="B64" s="455" t="s">
        <v>115</v>
      </c>
      <c r="C64" s="123">
        <v>1237.3900000000001</v>
      </c>
      <c r="D64" s="123">
        <v>1004.86</v>
      </c>
      <c r="E64" s="123">
        <v>3357.09</v>
      </c>
      <c r="F64" s="125">
        <f t="shared" si="8"/>
        <v>4361.95</v>
      </c>
      <c r="G64" s="123">
        <v>10143.530000000001</v>
      </c>
      <c r="H64" s="125">
        <f t="shared" si="9"/>
        <v>14505.48</v>
      </c>
    </row>
    <row r="65" spans="1:8" ht="14.5">
      <c r="A65" s="472"/>
      <c r="B65" s="450" t="s">
        <v>116</v>
      </c>
      <c r="C65" s="123">
        <v>1321.95</v>
      </c>
      <c r="D65" s="123">
        <v>1072.8699999999999</v>
      </c>
      <c r="E65" s="123">
        <v>3606.68</v>
      </c>
      <c r="F65" s="123">
        <f>D65+E65</f>
        <v>4679.5499999999993</v>
      </c>
      <c r="G65" s="123">
        <v>9685.81</v>
      </c>
      <c r="H65" s="123">
        <f>F65+G65</f>
        <v>14365.359999999999</v>
      </c>
    </row>
    <row r="66" spans="1:8" ht="14.5">
      <c r="A66" s="471">
        <v>2016</v>
      </c>
      <c r="B66" s="454" t="s">
        <v>105</v>
      </c>
      <c r="C66" s="124">
        <v>1269.76</v>
      </c>
      <c r="D66" s="129">
        <v>1067.67</v>
      </c>
      <c r="E66" s="124">
        <v>3421.06</v>
      </c>
      <c r="F66" s="129">
        <f>D66+E66</f>
        <v>4488.7299999999996</v>
      </c>
      <c r="G66" s="124">
        <v>9967.6</v>
      </c>
      <c r="H66" s="128">
        <f>F66+G66</f>
        <v>14456.33</v>
      </c>
    </row>
    <row r="67" spans="1:8" ht="14.5">
      <c r="A67" s="472"/>
      <c r="B67" s="455" t="s">
        <v>106</v>
      </c>
      <c r="C67" s="125">
        <v>1275.55</v>
      </c>
      <c r="D67" s="130">
        <v>1061.23</v>
      </c>
      <c r="E67" s="125">
        <v>3268.03</v>
      </c>
      <c r="F67" s="130">
        <f>D67+E67</f>
        <v>4329.26</v>
      </c>
      <c r="G67" s="125">
        <v>10259.76</v>
      </c>
      <c r="H67" s="123">
        <f>F67+G67</f>
        <v>14589.02</v>
      </c>
    </row>
    <row r="68" spans="1:8" ht="14.5">
      <c r="A68" s="472"/>
      <c r="B68" s="455" t="s">
        <v>107</v>
      </c>
      <c r="C68" s="125">
        <v>1285.3699999999999</v>
      </c>
      <c r="D68" s="130">
        <v>1061.9100000000001</v>
      </c>
      <c r="E68" s="125">
        <v>3387.21</v>
      </c>
      <c r="F68" s="130">
        <f t="shared" ref="F68:F76" si="10">D68+E68</f>
        <v>4449.12</v>
      </c>
      <c r="G68" s="125">
        <v>10105.15</v>
      </c>
      <c r="H68" s="123">
        <f t="shared" ref="H68:H76" si="11">F68+G68</f>
        <v>14554.27</v>
      </c>
    </row>
    <row r="69" spans="1:8" ht="14.5">
      <c r="A69" s="472"/>
      <c r="B69" s="455" t="s">
        <v>108</v>
      </c>
      <c r="C69" s="125">
        <v>1315.24</v>
      </c>
      <c r="D69" s="130">
        <v>1089.3699999999999</v>
      </c>
      <c r="E69" s="125">
        <v>3361.36</v>
      </c>
      <c r="F69" s="130">
        <f t="shared" si="10"/>
        <v>4450.7299999999996</v>
      </c>
      <c r="G69" s="125">
        <v>9944.8700000000008</v>
      </c>
      <c r="H69" s="123">
        <f t="shared" si="11"/>
        <v>14395.6</v>
      </c>
    </row>
    <row r="70" spans="1:8" ht="14.5">
      <c r="A70" s="472"/>
      <c r="B70" s="455" t="s">
        <v>109</v>
      </c>
      <c r="C70" s="125">
        <v>1317.82</v>
      </c>
      <c r="D70" s="130">
        <v>1096.74</v>
      </c>
      <c r="E70" s="125">
        <v>3477.63</v>
      </c>
      <c r="F70" s="130">
        <f t="shared" si="10"/>
        <v>4574.37</v>
      </c>
      <c r="G70" s="125">
        <v>9901.48</v>
      </c>
      <c r="H70" s="123">
        <f t="shared" si="11"/>
        <v>14475.849999999999</v>
      </c>
    </row>
    <row r="71" spans="1:8" ht="14.5">
      <c r="A71" s="472"/>
      <c r="B71" s="455" t="s">
        <v>110</v>
      </c>
      <c r="C71" s="125">
        <v>1328.53</v>
      </c>
      <c r="D71" s="130">
        <v>1094.6300000000001</v>
      </c>
      <c r="E71" s="125">
        <v>3464.59</v>
      </c>
      <c r="F71" s="130">
        <f t="shared" si="10"/>
        <v>4559.22</v>
      </c>
      <c r="G71" s="125">
        <v>10010</v>
      </c>
      <c r="H71" s="123">
        <f t="shared" si="11"/>
        <v>14569.220000000001</v>
      </c>
    </row>
    <row r="72" spans="1:8" ht="14.5">
      <c r="A72" s="472"/>
      <c r="B72" s="455" t="s">
        <v>117</v>
      </c>
      <c r="C72" s="125">
        <v>1302.1600000000001</v>
      </c>
      <c r="D72" s="130">
        <v>1065.06</v>
      </c>
      <c r="E72" s="125">
        <v>3590.75</v>
      </c>
      <c r="F72" s="130">
        <f t="shared" si="10"/>
        <v>4655.8099999999995</v>
      </c>
      <c r="G72" s="125">
        <v>9758.84</v>
      </c>
      <c r="H72" s="123">
        <f t="shared" si="11"/>
        <v>14414.65</v>
      </c>
    </row>
    <row r="73" spans="1:8" ht="14.5">
      <c r="A73" s="472"/>
      <c r="B73" s="455" t="s">
        <v>112</v>
      </c>
      <c r="C73" s="125">
        <v>1268.93</v>
      </c>
      <c r="D73" s="130">
        <v>1054.03</v>
      </c>
      <c r="E73" s="125">
        <v>3532.56</v>
      </c>
      <c r="F73" s="130">
        <f t="shared" si="10"/>
        <v>4586.59</v>
      </c>
      <c r="G73" s="125">
        <v>9555.5400000000009</v>
      </c>
      <c r="H73" s="123">
        <f t="shared" si="11"/>
        <v>14142.130000000001</v>
      </c>
    </row>
    <row r="74" spans="1:8" ht="14.5">
      <c r="A74" s="472"/>
      <c r="B74" s="455" t="s">
        <v>113</v>
      </c>
      <c r="C74" s="125">
        <v>1282.71</v>
      </c>
      <c r="D74" s="130">
        <v>1055.5899999999999</v>
      </c>
      <c r="E74" s="125">
        <v>3474.44</v>
      </c>
      <c r="F74" s="130">
        <f t="shared" si="10"/>
        <v>4530.03</v>
      </c>
      <c r="G74" s="125">
        <v>9690.1200000000008</v>
      </c>
      <c r="H74" s="123">
        <f t="shared" si="11"/>
        <v>14220.150000000001</v>
      </c>
    </row>
    <row r="75" spans="1:8" ht="14.5">
      <c r="A75" s="472"/>
      <c r="B75" s="455" t="s">
        <v>114</v>
      </c>
      <c r="C75" s="125">
        <v>1273.25</v>
      </c>
      <c r="D75" s="130">
        <v>1058.04</v>
      </c>
      <c r="E75" s="125">
        <v>3396.96</v>
      </c>
      <c r="F75" s="130">
        <f t="shared" si="10"/>
        <v>4455</v>
      </c>
      <c r="G75" s="125">
        <v>9630.39</v>
      </c>
      <c r="H75" s="123">
        <f t="shared" si="11"/>
        <v>14085.39</v>
      </c>
    </row>
    <row r="76" spans="1:8" ht="14.5">
      <c r="A76" s="472"/>
      <c r="B76" s="455" t="s">
        <v>115</v>
      </c>
      <c r="C76" s="125">
        <v>1273.92</v>
      </c>
      <c r="D76" s="130">
        <v>1072.07</v>
      </c>
      <c r="E76" s="125">
        <v>3542.05</v>
      </c>
      <c r="F76" s="130">
        <f t="shared" si="10"/>
        <v>4614.12</v>
      </c>
      <c r="G76" s="125">
        <v>9604.85</v>
      </c>
      <c r="H76" s="123">
        <f t="shared" si="11"/>
        <v>14218.970000000001</v>
      </c>
    </row>
    <row r="77" spans="1:8" ht="14.5">
      <c r="A77" s="473"/>
      <c r="B77" s="456" t="s">
        <v>116</v>
      </c>
      <c r="C77" s="127">
        <v>1380.81</v>
      </c>
      <c r="D77" s="131">
        <v>1135.25</v>
      </c>
      <c r="E77" s="127">
        <v>3539.62</v>
      </c>
      <c r="F77" s="131">
        <f>D77+E77</f>
        <v>4674.87</v>
      </c>
      <c r="G77" s="127">
        <v>9907.2999999999993</v>
      </c>
      <c r="H77" s="126">
        <f>F77+G77</f>
        <v>14582.169999999998</v>
      </c>
    </row>
    <row r="78" spans="1:8" ht="14.5">
      <c r="A78" s="471">
        <v>2017</v>
      </c>
      <c r="B78" s="454" t="s">
        <v>105</v>
      </c>
      <c r="C78" s="124">
        <v>1335.8</v>
      </c>
      <c r="D78" s="129">
        <v>1128.8800000000001</v>
      </c>
      <c r="E78" s="124">
        <v>3357.41</v>
      </c>
      <c r="F78" s="129">
        <f>D78+E78</f>
        <v>4486.29</v>
      </c>
      <c r="G78" s="124">
        <v>9761.75</v>
      </c>
      <c r="H78" s="128">
        <f>F78+G78</f>
        <v>14248.04</v>
      </c>
    </row>
    <row r="79" spans="1:8" ht="14.5">
      <c r="A79" s="472"/>
      <c r="B79" s="455" t="s">
        <v>106</v>
      </c>
      <c r="C79" s="125">
        <v>1282.99</v>
      </c>
      <c r="D79" s="130">
        <v>1115.77</v>
      </c>
      <c r="E79" s="125">
        <v>3303.24</v>
      </c>
      <c r="F79" s="130">
        <f>D79+E79</f>
        <v>4419.01</v>
      </c>
      <c r="G79" s="132">
        <v>9678.75</v>
      </c>
      <c r="H79" s="123">
        <f>F79+G79</f>
        <v>14097.76</v>
      </c>
    </row>
    <row r="80" spans="1:8" ht="14.5">
      <c r="A80" s="472"/>
      <c r="B80" s="455" t="s">
        <v>107</v>
      </c>
      <c r="C80" s="125">
        <v>1262.6500000000001</v>
      </c>
      <c r="D80" s="130">
        <v>1088.31</v>
      </c>
      <c r="E80" s="125">
        <v>3364.62</v>
      </c>
      <c r="F80" s="130">
        <f>D80+E80</f>
        <v>4452.93</v>
      </c>
      <c r="G80" s="125">
        <v>9716.52</v>
      </c>
      <c r="H80" s="123">
        <f>F80+G80</f>
        <v>14169.45</v>
      </c>
    </row>
    <row r="81" spans="1:8" ht="14.5">
      <c r="A81" s="472"/>
      <c r="B81" s="455" t="s">
        <v>108</v>
      </c>
      <c r="C81" s="125">
        <v>1220.49</v>
      </c>
      <c r="D81" s="130">
        <v>1035.04</v>
      </c>
      <c r="E81" s="125">
        <v>3350.74</v>
      </c>
      <c r="F81" s="130">
        <f>D81+E81</f>
        <v>4385.78</v>
      </c>
      <c r="G81" s="132">
        <v>9823.65</v>
      </c>
      <c r="H81" s="123">
        <f t="shared" ref="H81:H144" si="12">F81+G81</f>
        <v>14209.43</v>
      </c>
    </row>
    <row r="82" spans="1:8" ht="14.5">
      <c r="A82" s="472"/>
      <c r="B82" s="455" t="s">
        <v>109</v>
      </c>
      <c r="C82" s="125">
        <v>1235.03</v>
      </c>
      <c r="D82" s="130">
        <v>1040.3800000000001</v>
      </c>
      <c r="E82" s="125">
        <v>3212.68</v>
      </c>
      <c r="F82" s="130">
        <f t="shared" ref="F82:F145" si="13">D82+E82</f>
        <v>4253.0599999999995</v>
      </c>
      <c r="G82" s="132">
        <v>9760.94</v>
      </c>
      <c r="H82" s="123">
        <f t="shared" si="12"/>
        <v>14014</v>
      </c>
    </row>
    <row r="83" spans="1:8" ht="14.5">
      <c r="A83" s="472"/>
      <c r="B83" s="455" t="s">
        <v>110</v>
      </c>
      <c r="C83" s="125">
        <v>1260.6600000000001</v>
      </c>
      <c r="D83" s="130">
        <v>1046.8800000000001</v>
      </c>
      <c r="E83" s="125">
        <v>3373.69</v>
      </c>
      <c r="F83" s="125">
        <f t="shared" si="13"/>
        <v>4420.57</v>
      </c>
      <c r="G83" s="125">
        <v>9761.8799999999992</v>
      </c>
      <c r="H83" s="125">
        <f t="shared" si="12"/>
        <v>14182.449999999999</v>
      </c>
    </row>
    <row r="84" spans="1:8" ht="14.5">
      <c r="A84" s="472"/>
      <c r="B84" s="455" t="s">
        <v>117</v>
      </c>
      <c r="C84" s="125">
        <v>1205.78</v>
      </c>
      <c r="D84" s="130">
        <v>1039.73</v>
      </c>
      <c r="E84" s="125">
        <v>3319.57</v>
      </c>
      <c r="F84" s="125">
        <f t="shared" si="13"/>
        <v>4359.3</v>
      </c>
      <c r="G84" s="132">
        <v>9695.83</v>
      </c>
      <c r="H84" s="125">
        <f t="shared" si="12"/>
        <v>14055.130000000001</v>
      </c>
    </row>
    <row r="85" spans="1:8" ht="14.5">
      <c r="A85" s="472"/>
      <c r="B85" s="455" t="s">
        <v>112</v>
      </c>
      <c r="C85" s="125">
        <v>1220.76</v>
      </c>
      <c r="D85" s="130">
        <v>1045.03</v>
      </c>
      <c r="E85" s="125">
        <v>3457.41</v>
      </c>
      <c r="F85" s="125">
        <f t="shared" si="13"/>
        <v>4502.4399999999996</v>
      </c>
      <c r="G85" s="132">
        <v>9582.2999999999993</v>
      </c>
      <c r="H85" s="125">
        <f t="shared" si="12"/>
        <v>14084.739999999998</v>
      </c>
    </row>
    <row r="86" spans="1:8" ht="14.5">
      <c r="A86" s="472"/>
      <c r="B86" s="455" t="s">
        <v>113</v>
      </c>
      <c r="C86" s="125">
        <v>1211.07</v>
      </c>
      <c r="D86" s="130">
        <v>1038.27</v>
      </c>
      <c r="E86" s="125">
        <v>3475.99</v>
      </c>
      <c r="F86" s="125">
        <f t="shared" si="13"/>
        <v>4514.26</v>
      </c>
      <c r="G86" s="132">
        <v>9454.98</v>
      </c>
      <c r="H86" s="125">
        <f t="shared" si="12"/>
        <v>13969.24</v>
      </c>
    </row>
    <row r="87" spans="1:8" ht="14.5">
      <c r="A87" s="472"/>
      <c r="B87" s="455" t="s">
        <v>114</v>
      </c>
      <c r="C87" s="125">
        <v>1198.3900000000001</v>
      </c>
      <c r="D87" s="130">
        <v>1025.6400000000001</v>
      </c>
      <c r="E87" s="125">
        <v>3409.27</v>
      </c>
      <c r="F87" s="125">
        <f t="shared" si="13"/>
        <v>4434.91</v>
      </c>
      <c r="G87" s="132">
        <v>9520.16</v>
      </c>
      <c r="H87" s="125">
        <f t="shared" si="12"/>
        <v>13955.07</v>
      </c>
    </row>
    <row r="88" spans="1:8" ht="14.5">
      <c r="A88" s="472"/>
      <c r="B88" s="455" t="s">
        <v>115</v>
      </c>
      <c r="C88" s="125">
        <v>1182.54</v>
      </c>
      <c r="D88" s="130">
        <v>1035.53</v>
      </c>
      <c r="E88" s="125">
        <v>3398.02</v>
      </c>
      <c r="F88" s="125">
        <f t="shared" si="13"/>
        <v>4433.55</v>
      </c>
      <c r="G88" s="132">
        <v>9566.66</v>
      </c>
      <c r="H88" s="125">
        <f t="shared" si="12"/>
        <v>14000.21</v>
      </c>
    </row>
    <row r="89" spans="1:8" ht="14.5">
      <c r="A89" s="473"/>
      <c r="B89" s="452" t="s">
        <v>116</v>
      </c>
      <c r="C89" s="127">
        <v>1263.04</v>
      </c>
      <c r="D89" s="131">
        <v>1091.45</v>
      </c>
      <c r="E89" s="127">
        <v>3316.29</v>
      </c>
      <c r="F89" s="127">
        <f t="shared" si="13"/>
        <v>4407.74</v>
      </c>
      <c r="G89" s="127">
        <v>10110.040000000001</v>
      </c>
      <c r="H89" s="127">
        <f t="shared" si="12"/>
        <v>14517.78</v>
      </c>
    </row>
    <row r="90" spans="1:8" ht="14.5">
      <c r="A90" s="471">
        <v>2018</v>
      </c>
      <c r="B90" s="454" t="s">
        <v>105</v>
      </c>
      <c r="C90" s="124">
        <v>1185.99</v>
      </c>
      <c r="D90" s="129">
        <v>1045.95</v>
      </c>
      <c r="E90" s="124">
        <v>3293.73</v>
      </c>
      <c r="F90" s="129">
        <f t="shared" si="13"/>
        <v>4339.68</v>
      </c>
      <c r="G90" s="124">
        <v>9757</v>
      </c>
      <c r="H90" s="128">
        <f t="shared" si="12"/>
        <v>14096.68</v>
      </c>
    </row>
    <row r="91" spans="1:8" ht="14.5">
      <c r="A91" s="472"/>
      <c r="B91" s="455" t="s">
        <v>106</v>
      </c>
      <c r="C91" s="125">
        <v>1214.0899999999999</v>
      </c>
      <c r="D91" s="130">
        <v>1068.6099999999999</v>
      </c>
      <c r="E91" s="125">
        <v>3253.82</v>
      </c>
      <c r="F91" s="130">
        <f t="shared" si="13"/>
        <v>4322.43</v>
      </c>
      <c r="G91" s="132">
        <v>9934.58</v>
      </c>
      <c r="H91" s="123">
        <f t="shared" si="12"/>
        <v>14257.01</v>
      </c>
    </row>
    <row r="92" spans="1:8" ht="14.5">
      <c r="A92" s="472"/>
      <c r="B92" s="455" t="s">
        <v>107</v>
      </c>
      <c r="C92" s="125">
        <v>1225.46</v>
      </c>
      <c r="D92" s="130">
        <v>1075.6400000000001</v>
      </c>
      <c r="E92" s="125">
        <v>3355.77</v>
      </c>
      <c r="F92" s="130">
        <f t="shared" si="13"/>
        <v>4431.41</v>
      </c>
      <c r="G92" s="125">
        <v>9868.24</v>
      </c>
      <c r="H92" s="123">
        <f t="shared" si="12"/>
        <v>14299.65</v>
      </c>
    </row>
    <row r="93" spans="1:8" ht="14.5">
      <c r="A93" s="472"/>
      <c r="B93" s="455" t="s">
        <v>108</v>
      </c>
      <c r="C93" s="130">
        <v>1213.42</v>
      </c>
      <c r="D93" s="125">
        <v>1068.58</v>
      </c>
      <c r="E93" s="125">
        <v>3375.72</v>
      </c>
      <c r="F93" s="125">
        <f t="shared" si="13"/>
        <v>4444.2999999999993</v>
      </c>
      <c r="G93" s="125">
        <v>9606.36</v>
      </c>
      <c r="H93" s="125">
        <f t="shared" si="12"/>
        <v>14050.66</v>
      </c>
    </row>
    <row r="94" spans="1:8" ht="14.5">
      <c r="A94" s="472"/>
      <c r="B94" s="455" t="s">
        <v>109</v>
      </c>
      <c r="C94" s="130">
        <v>1233.8499999999999</v>
      </c>
      <c r="D94" s="125">
        <v>1074.8</v>
      </c>
      <c r="E94" s="125">
        <v>3365.73</v>
      </c>
      <c r="F94" s="125">
        <f t="shared" si="13"/>
        <v>4440.53</v>
      </c>
      <c r="G94" s="125">
        <v>9703.11</v>
      </c>
      <c r="H94" s="125">
        <f t="shared" si="12"/>
        <v>14143.64</v>
      </c>
    </row>
    <row r="95" spans="1:8" ht="14.5">
      <c r="A95" s="472"/>
      <c r="B95" s="455" t="s">
        <v>110</v>
      </c>
      <c r="C95" s="130">
        <v>1194.29</v>
      </c>
      <c r="D95" s="125">
        <v>1051.49</v>
      </c>
      <c r="E95" s="125">
        <v>3415.28</v>
      </c>
      <c r="F95" s="125">
        <f t="shared" si="13"/>
        <v>4466.7700000000004</v>
      </c>
      <c r="G95" s="125">
        <v>9884.5499999999993</v>
      </c>
      <c r="H95" s="125">
        <f t="shared" si="12"/>
        <v>14351.32</v>
      </c>
    </row>
    <row r="96" spans="1:8" ht="14.5">
      <c r="A96" s="472"/>
      <c r="B96" s="455" t="s">
        <v>117</v>
      </c>
      <c r="C96" s="125">
        <v>1181.55</v>
      </c>
      <c r="D96" s="125">
        <v>1034.47</v>
      </c>
      <c r="E96" s="125">
        <v>3325.16</v>
      </c>
      <c r="F96" s="125">
        <f t="shared" si="13"/>
        <v>4359.63</v>
      </c>
      <c r="G96" s="125">
        <v>10136.280000000001</v>
      </c>
      <c r="H96" s="125">
        <f t="shared" si="12"/>
        <v>14495.91</v>
      </c>
    </row>
    <row r="97" spans="1:8" ht="14.5">
      <c r="A97" s="472"/>
      <c r="B97" s="455" t="s">
        <v>112</v>
      </c>
      <c r="C97" s="125">
        <v>1159.19</v>
      </c>
      <c r="D97" s="125">
        <v>1027.51</v>
      </c>
      <c r="E97" s="125">
        <v>3173.77</v>
      </c>
      <c r="F97" s="125">
        <f t="shared" si="13"/>
        <v>4201.28</v>
      </c>
      <c r="G97" s="125">
        <v>10679.03</v>
      </c>
      <c r="H97" s="125">
        <f t="shared" si="12"/>
        <v>14880.310000000001</v>
      </c>
    </row>
    <row r="98" spans="1:8" ht="14.5">
      <c r="A98" s="472"/>
      <c r="B98" s="455" t="s">
        <v>113</v>
      </c>
      <c r="C98" s="133">
        <v>1157.5</v>
      </c>
      <c r="D98" s="125">
        <v>1028.8900000000001</v>
      </c>
      <c r="E98" s="125">
        <v>3215.81</v>
      </c>
      <c r="F98" s="125">
        <f t="shared" si="13"/>
        <v>4244.7</v>
      </c>
      <c r="G98" s="125">
        <v>10366.85</v>
      </c>
      <c r="H98" s="123">
        <f t="shared" si="12"/>
        <v>14611.55</v>
      </c>
    </row>
    <row r="99" spans="1:8" ht="14.5">
      <c r="A99" s="472"/>
      <c r="B99" s="455" t="s">
        <v>114</v>
      </c>
      <c r="C99" s="130">
        <v>1158.43</v>
      </c>
      <c r="D99" s="125">
        <v>1017.42</v>
      </c>
      <c r="E99" s="125">
        <v>3206.05</v>
      </c>
      <c r="F99" s="125">
        <f t="shared" si="13"/>
        <v>4223.47</v>
      </c>
      <c r="G99" s="125">
        <v>9948.93</v>
      </c>
      <c r="H99" s="123">
        <f t="shared" si="12"/>
        <v>14172.400000000001</v>
      </c>
    </row>
    <row r="100" spans="1:8" ht="14.5">
      <c r="A100" s="472"/>
      <c r="B100" s="455" t="s">
        <v>115</v>
      </c>
      <c r="C100" s="130">
        <v>1166.08</v>
      </c>
      <c r="D100" s="125">
        <v>1022.83</v>
      </c>
      <c r="E100" s="125">
        <v>3224.55</v>
      </c>
      <c r="F100" s="125">
        <f t="shared" si="13"/>
        <v>4247.38</v>
      </c>
      <c r="G100" s="125">
        <v>9949.31</v>
      </c>
      <c r="H100" s="123">
        <f t="shared" si="12"/>
        <v>14196.689999999999</v>
      </c>
    </row>
    <row r="101" spans="1:8" ht="14.5">
      <c r="A101" s="473"/>
      <c r="B101" s="456" t="s">
        <v>116</v>
      </c>
      <c r="C101" s="131">
        <v>1248.79</v>
      </c>
      <c r="D101" s="127">
        <v>1084</v>
      </c>
      <c r="E101" s="127">
        <v>3189.9</v>
      </c>
      <c r="F101" s="127">
        <f t="shared" si="13"/>
        <v>4273.8999999999996</v>
      </c>
      <c r="G101" s="127">
        <v>10655.82</v>
      </c>
      <c r="H101" s="126">
        <f t="shared" si="12"/>
        <v>14929.72</v>
      </c>
    </row>
    <row r="102" spans="1:8" ht="14.5">
      <c r="A102" s="471">
        <v>2019</v>
      </c>
      <c r="B102" s="454" t="s">
        <v>105</v>
      </c>
      <c r="C102" s="129">
        <v>1218.93</v>
      </c>
      <c r="D102" s="124">
        <v>1081.1199999999999</v>
      </c>
      <c r="E102" s="124">
        <v>3184.12</v>
      </c>
      <c r="F102" s="124">
        <f t="shared" si="13"/>
        <v>4265.24</v>
      </c>
      <c r="G102" s="124">
        <v>10688.4</v>
      </c>
      <c r="H102" s="124">
        <f t="shared" si="12"/>
        <v>14953.64</v>
      </c>
    </row>
    <row r="103" spans="1:8" ht="14.5">
      <c r="A103" s="472"/>
      <c r="B103" s="455" t="s">
        <v>106</v>
      </c>
      <c r="C103" s="130">
        <v>1209.48</v>
      </c>
      <c r="D103" s="125">
        <v>1067.6500000000001</v>
      </c>
      <c r="E103" s="125">
        <v>3172.04</v>
      </c>
      <c r="F103" s="125">
        <f t="shared" si="13"/>
        <v>4239.6900000000005</v>
      </c>
      <c r="G103" s="125">
        <v>10682.61</v>
      </c>
      <c r="H103" s="125">
        <f t="shared" si="12"/>
        <v>14922.300000000001</v>
      </c>
    </row>
    <row r="104" spans="1:8" ht="14.5">
      <c r="A104" s="472"/>
      <c r="B104" s="455" t="s">
        <v>107</v>
      </c>
      <c r="C104" s="130">
        <v>1212.72</v>
      </c>
      <c r="D104" s="125">
        <v>1068.31</v>
      </c>
      <c r="E104" s="125">
        <v>3406.67</v>
      </c>
      <c r="F104" s="125">
        <f t="shared" si="13"/>
        <v>4474.9799999999996</v>
      </c>
      <c r="G104" s="125">
        <v>10294.450000000001</v>
      </c>
      <c r="H104" s="125">
        <f t="shared" si="12"/>
        <v>14769.43</v>
      </c>
    </row>
    <row r="105" spans="1:8" ht="14.5">
      <c r="A105" s="472"/>
      <c r="B105" s="455" t="s">
        <v>108</v>
      </c>
      <c r="C105" s="130">
        <v>1201.01</v>
      </c>
      <c r="D105" s="125">
        <v>1058.0999999999999</v>
      </c>
      <c r="E105" s="125">
        <v>3371.12</v>
      </c>
      <c r="F105" s="125">
        <f t="shared" si="13"/>
        <v>4429.2199999999993</v>
      </c>
      <c r="G105" s="125">
        <v>10483.57</v>
      </c>
      <c r="H105" s="125">
        <f t="shared" si="12"/>
        <v>14912.789999999999</v>
      </c>
    </row>
    <row r="106" spans="1:8" ht="14.5">
      <c r="A106" s="472"/>
      <c r="B106" s="455" t="s">
        <v>109</v>
      </c>
      <c r="C106" s="130">
        <v>1218.44</v>
      </c>
      <c r="D106" s="125">
        <v>1080.8900000000001</v>
      </c>
      <c r="E106" s="125">
        <v>3342.86</v>
      </c>
      <c r="F106" s="125">
        <f t="shared" si="13"/>
        <v>4423.75</v>
      </c>
      <c r="G106" s="125">
        <v>10073.73</v>
      </c>
      <c r="H106" s="125">
        <f t="shared" si="12"/>
        <v>14497.48</v>
      </c>
    </row>
    <row r="107" spans="1:8" ht="14.5">
      <c r="A107" s="472"/>
      <c r="B107" s="455" t="s">
        <v>110</v>
      </c>
      <c r="C107" s="130">
        <v>1182.79</v>
      </c>
      <c r="D107" s="125">
        <v>1047.69</v>
      </c>
      <c r="E107" s="125">
        <v>3495.85</v>
      </c>
      <c r="F107" s="125">
        <f t="shared" si="13"/>
        <v>4543.54</v>
      </c>
      <c r="G107" s="125">
        <v>10148.06</v>
      </c>
      <c r="H107" s="125">
        <f t="shared" si="12"/>
        <v>14691.599999999999</v>
      </c>
    </row>
    <row r="108" spans="1:8" ht="14.5">
      <c r="A108" s="472"/>
      <c r="B108" s="455" t="s">
        <v>117</v>
      </c>
      <c r="C108" s="125">
        <v>1167.9000000000001</v>
      </c>
      <c r="D108" s="125">
        <v>1018.72</v>
      </c>
      <c r="E108" s="125">
        <v>3473.01</v>
      </c>
      <c r="F108" s="125">
        <f t="shared" si="13"/>
        <v>4491.7300000000005</v>
      </c>
      <c r="G108" s="125">
        <v>10175.61</v>
      </c>
      <c r="H108" s="125">
        <f t="shared" si="12"/>
        <v>14667.34</v>
      </c>
    </row>
    <row r="109" spans="1:8" ht="14.5">
      <c r="A109" s="472"/>
      <c r="B109" s="455" t="s">
        <v>112</v>
      </c>
      <c r="C109" s="125">
        <v>1183.5899999999999</v>
      </c>
      <c r="D109" s="125">
        <v>1031.73</v>
      </c>
      <c r="E109" s="125">
        <v>3418.6</v>
      </c>
      <c r="F109" s="125">
        <f t="shared" si="13"/>
        <v>4450.33</v>
      </c>
      <c r="G109" s="125">
        <v>10398.56</v>
      </c>
      <c r="H109" s="125">
        <f t="shared" si="12"/>
        <v>14848.89</v>
      </c>
    </row>
    <row r="110" spans="1:8" ht="14.5">
      <c r="A110" s="472"/>
      <c r="B110" s="455" t="s">
        <v>113</v>
      </c>
      <c r="C110" s="125">
        <v>1156.71</v>
      </c>
      <c r="D110" s="125">
        <v>1013.41</v>
      </c>
      <c r="E110" s="125">
        <v>3433.7</v>
      </c>
      <c r="F110" s="125">
        <f t="shared" si="13"/>
        <v>4447.1099999999997</v>
      </c>
      <c r="G110" s="125">
        <v>9750.7099999999991</v>
      </c>
      <c r="H110" s="125">
        <f t="shared" si="12"/>
        <v>14197.82</v>
      </c>
    </row>
    <row r="111" spans="1:8" ht="14.5">
      <c r="A111" s="472"/>
      <c r="B111" s="455" t="s">
        <v>114</v>
      </c>
      <c r="C111" s="125">
        <v>1152.1600000000001</v>
      </c>
      <c r="D111" s="125">
        <v>1014.37</v>
      </c>
      <c r="E111" s="125">
        <v>3564.02</v>
      </c>
      <c r="F111" s="125">
        <f t="shared" si="13"/>
        <v>4578.3900000000003</v>
      </c>
      <c r="G111" s="125">
        <v>9758.83</v>
      </c>
      <c r="H111" s="125">
        <f t="shared" si="12"/>
        <v>14337.220000000001</v>
      </c>
    </row>
    <row r="112" spans="1:8" ht="14.5">
      <c r="A112" s="480"/>
      <c r="B112" s="455" t="s">
        <v>115</v>
      </c>
      <c r="C112" s="125">
        <v>1158.25</v>
      </c>
      <c r="D112" s="125">
        <v>1020.13</v>
      </c>
      <c r="E112" s="125">
        <v>3546.45</v>
      </c>
      <c r="F112" s="125">
        <f t="shared" si="13"/>
        <v>4566.58</v>
      </c>
      <c r="G112" s="125">
        <v>9749.56</v>
      </c>
      <c r="H112" s="125">
        <f t="shared" si="12"/>
        <v>14316.14</v>
      </c>
    </row>
    <row r="113" spans="1:8" ht="14.5">
      <c r="A113" s="481"/>
      <c r="B113" s="456" t="s">
        <v>116</v>
      </c>
      <c r="C113" s="127">
        <v>1228.1199999999999</v>
      </c>
      <c r="D113" s="127">
        <v>1052.78</v>
      </c>
      <c r="E113" s="127">
        <v>3505.01</v>
      </c>
      <c r="F113" s="127">
        <f t="shared" si="13"/>
        <v>4557.79</v>
      </c>
      <c r="G113" s="127">
        <v>11009.27</v>
      </c>
      <c r="H113" s="127">
        <f t="shared" si="12"/>
        <v>15567.060000000001</v>
      </c>
    </row>
    <row r="114" spans="1:8" ht="14.5">
      <c r="A114" s="471">
        <v>2020</v>
      </c>
      <c r="B114" s="454" t="s">
        <v>105</v>
      </c>
      <c r="C114" s="134">
        <v>1226.1550337100011</v>
      </c>
      <c r="D114" s="124">
        <v>1069.2283212199932</v>
      </c>
      <c r="E114" s="124">
        <v>3681.5652138621017</v>
      </c>
      <c r="F114" s="124">
        <f t="shared" si="13"/>
        <v>4750.7935350820953</v>
      </c>
      <c r="G114" s="124">
        <v>10337.087503742277</v>
      </c>
      <c r="H114" s="124">
        <f t="shared" si="12"/>
        <v>15087.881038824373</v>
      </c>
    </row>
    <row r="115" spans="1:8" ht="14.5">
      <c r="A115" s="472"/>
      <c r="B115" s="455" t="s">
        <v>106</v>
      </c>
      <c r="C115" s="133">
        <v>1213.7304313600025</v>
      </c>
      <c r="D115" s="125">
        <v>1077.4330898400062</v>
      </c>
      <c r="E115" s="125">
        <v>3717.2577897084338</v>
      </c>
      <c r="F115" s="125">
        <f t="shared" si="13"/>
        <v>4794.6908795484396</v>
      </c>
      <c r="G115" s="125">
        <v>10243.180074434258</v>
      </c>
      <c r="H115" s="125">
        <f t="shared" si="12"/>
        <v>15037.870953982698</v>
      </c>
    </row>
    <row r="116" spans="1:8" ht="14.5">
      <c r="A116" s="472"/>
      <c r="B116" s="455" t="s">
        <v>107</v>
      </c>
      <c r="C116" s="133">
        <v>1231.7309025500017</v>
      </c>
      <c r="D116" s="125">
        <v>1069.2012323800018</v>
      </c>
      <c r="E116" s="125">
        <v>4023.7414354409957</v>
      </c>
      <c r="F116" s="125">
        <f t="shared" si="13"/>
        <v>5092.9426678209975</v>
      </c>
      <c r="G116" s="125">
        <v>10128.96355573893</v>
      </c>
      <c r="H116" s="125">
        <f t="shared" si="12"/>
        <v>15221.906223559927</v>
      </c>
    </row>
    <row r="117" spans="1:8" ht="14.5">
      <c r="A117" s="472"/>
      <c r="B117" s="455" t="s">
        <v>108</v>
      </c>
      <c r="C117" s="130">
        <v>1246.2998145100014</v>
      </c>
      <c r="D117" s="125">
        <v>1089.8122161200013</v>
      </c>
      <c r="E117" s="125">
        <v>4140.5380432987367</v>
      </c>
      <c r="F117" s="125">
        <f t="shared" si="13"/>
        <v>5230.3502594187376</v>
      </c>
      <c r="G117" s="125">
        <v>10150.650821698808</v>
      </c>
      <c r="H117" s="125">
        <f t="shared" si="12"/>
        <v>15381.001081117545</v>
      </c>
    </row>
    <row r="118" spans="1:8" ht="14.5">
      <c r="A118" s="472"/>
      <c r="B118" s="455" t="s">
        <v>109</v>
      </c>
      <c r="C118" s="130">
        <v>1290.5841029500004</v>
      </c>
      <c r="D118" s="125">
        <v>1114.0620159600005</v>
      </c>
      <c r="E118" s="125">
        <v>4159.1542817208829</v>
      </c>
      <c r="F118" s="125">
        <f t="shared" si="13"/>
        <v>5273.2162976808831</v>
      </c>
      <c r="G118" s="125">
        <v>11534.148161016738</v>
      </c>
      <c r="H118" s="125">
        <f t="shared" si="12"/>
        <v>16807.364458697622</v>
      </c>
    </row>
    <row r="119" spans="1:8" ht="14.5">
      <c r="A119" s="472"/>
      <c r="B119" s="455" t="s">
        <v>110</v>
      </c>
      <c r="C119" s="130">
        <v>1249.8312050100008</v>
      </c>
      <c r="D119" s="125">
        <v>1108.7343657000008</v>
      </c>
      <c r="E119" s="125">
        <v>4091.1498431683158</v>
      </c>
      <c r="F119" s="125">
        <f t="shared" si="13"/>
        <v>5199.8842088683168</v>
      </c>
      <c r="G119" s="125">
        <v>9548.4098258722879</v>
      </c>
      <c r="H119" s="125">
        <f t="shared" si="12"/>
        <v>14748.294034740604</v>
      </c>
    </row>
    <row r="120" spans="1:8" ht="14.5">
      <c r="A120" s="472"/>
      <c r="B120" s="455" t="s">
        <v>117</v>
      </c>
      <c r="C120" s="125">
        <v>1258.2710294899989</v>
      </c>
      <c r="D120" s="125">
        <v>1111.9154521599989</v>
      </c>
      <c r="E120" s="125">
        <v>4305.4435721855452</v>
      </c>
      <c r="F120" s="125">
        <f t="shared" si="13"/>
        <v>5417.3590243455437</v>
      </c>
      <c r="G120" s="125">
        <v>9617.1610283342852</v>
      </c>
      <c r="H120" s="125">
        <f t="shared" si="12"/>
        <v>15034.520052679829</v>
      </c>
    </row>
    <row r="121" spans="1:8" ht="14.5">
      <c r="A121" s="472"/>
      <c r="B121" s="455" t="s">
        <v>112</v>
      </c>
      <c r="C121" s="125">
        <v>1260.7618419999983</v>
      </c>
      <c r="D121" s="125">
        <v>1109.5162172099983</v>
      </c>
      <c r="E121" s="125">
        <v>4297.8618431837476</v>
      </c>
      <c r="F121" s="125">
        <f t="shared" si="13"/>
        <v>5407.3780603937457</v>
      </c>
      <c r="G121" s="125">
        <v>9716.645081715742</v>
      </c>
      <c r="H121" s="125">
        <f t="shared" si="12"/>
        <v>15124.023142109487</v>
      </c>
    </row>
    <row r="122" spans="1:8" ht="14.5">
      <c r="A122" s="472"/>
      <c r="B122" s="455" t="s">
        <v>113</v>
      </c>
      <c r="C122" s="125">
        <v>1268.7726502200001</v>
      </c>
      <c r="D122" s="125">
        <v>1121.4168890000001</v>
      </c>
      <c r="E122" s="125">
        <v>4340.097585452826</v>
      </c>
      <c r="F122" s="125">
        <f t="shared" si="13"/>
        <v>5461.5144744528261</v>
      </c>
      <c r="G122" s="125">
        <v>9747.1807911504748</v>
      </c>
      <c r="H122" s="125">
        <f t="shared" si="12"/>
        <v>15208.695265603301</v>
      </c>
    </row>
    <row r="123" spans="1:8" ht="14.5">
      <c r="A123" s="472"/>
      <c r="B123" s="455" t="s">
        <v>114</v>
      </c>
      <c r="C123" s="130">
        <v>1276.1789283899986</v>
      </c>
      <c r="D123" s="125">
        <v>1130.2599724999986</v>
      </c>
      <c r="E123" s="125">
        <v>4326.931531352312</v>
      </c>
      <c r="F123" s="125">
        <f t="shared" si="13"/>
        <v>5457.1915038523111</v>
      </c>
      <c r="G123" s="125">
        <v>10188.449795845911</v>
      </c>
      <c r="H123" s="125">
        <f t="shared" si="12"/>
        <v>15645.641299698222</v>
      </c>
    </row>
    <row r="124" spans="1:8" ht="14.5">
      <c r="A124" s="472"/>
      <c r="B124" s="455" t="s">
        <v>115</v>
      </c>
      <c r="C124" s="130">
        <v>1282.7619999999999</v>
      </c>
      <c r="D124" s="125">
        <v>1131.8564639199999</v>
      </c>
      <c r="E124" s="125">
        <v>4734.3564053829186</v>
      </c>
      <c r="F124" s="125">
        <f t="shared" si="13"/>
        <v>5866.212869302919</v>
      </c>
      <c r="G124" s="125">
        <v>9686.5763792248672</v>
      </c>
      <c r="H124" s="125">
        <f t="shared" si="12"/>
        <v>15552.789248527786</v>
      </c>
    </row>
    <row r="125" spans="1:8" ht="14.5">
      <c r="A125" s="473"/>
      <c r="B125" s="456" t="s">
        <v>116</v>
      </c>
      <c r="C125" s="131">
        <v>1357.799872719999</v>
      </c>
      <c r="D125" s="127">
        <v>1183.1818119799991</v>
      </c>
      <c r="E125" s="127">
        <v>4320.4716105498437</v>
      </c>
      <c r="F125" s="127">
        <f t="shared" si="13"/>
        <v>5503.6534225298428</v>
      </c>
      <c r="G125" s="127">
        <v>9996.5222901225352</v>
      </c>
      <c r="H125" s="127">
        <f t="shared" si="12"/>
        <v>15500.175712652377</v>
      </c>
    </row>
    <row r="126" spans="1:8" ht="14.5">
      <c r="A126" s="471">
        <v>2021</v>
      </c>
      <c r="B126" s="454" t="s">
        <v>105</v>
      </c>
      <c r="C126" s="129">
        <v>1321.3801006300002</v>
      </c>
      <c r="D126" s="124">
        <v>1179.9935341900002</v>
      </c>
      <c r="E126" s="124">
        <v>4310.6050156701649</v>
      </c>
      <c r="F126" s="124">
        <f t="shared" si="13"/>
        <v>5490.5985498601649</v>
      </c>
      <c r="G126" s="124">
        <v>10005.907891065881</v>
      </c>
      <c r="H126" s="124">
        <f t="shared" si="12"/>
        <v>15496.506440926045</v>
      </c>
    </row>
    <row r="127" spans="1:8" ht="14.5">
      <c r="A127" s="472"/>
      <c r="B127" s="455" t="s">
        <v>106</v>
      </c>
      <c r="C127" s="130">
        <v>1347.8479314700014</v>
      </c>
      <c r="D127" s="125">
        <v>1208.0531424800015</v>
      </c>
      <c r="E127" s="125">
        <v>4192.7944132515822</v>
      </c>
      <c r="F127" s="125">
        <f t="shared" si="13"/>
        <v>5400.8475557315833</v>
      </c>
      <c r="G127" s="125">
        <v>10045.655659587872</v>
      </c>
      <c r="H127" s="125">
        <f t="shared" si="12"/>
        <v>15446.503215319455</v>
      </c>
    </row>
    <row r="128" spans="1:8" ht="14.5">
      <c r="A128" s="472"/>
      <c r="B128" s="455" t="s">
        <v>107</v>
      </c>
      <c r="C128" s="130">
        <v>1346.6228701200007</v>
      </c>
      <c r="D128" s="125">
        <v>1199.5323550900007</v>
      </c>
      <c r="E128" s="125">
        <v>4268.6989885602807</v>
      </c>
      <c r="F128" s="125">
        <f t="shared" si="13"/>
        <v>5468.2313436502809</v>
      </c>
      <c r="G128" s="125">
        <v>10298.359036692249</v>
      </c>
      <c r="H128" s="125">
        <f t="shared" si="12"/>
        <v>15766.59038034253</v>
      </c>
    </row>
    <row r="129" spans="1:8" ht="14.5">
      <c r="A129" s="472"/>
      <c r="B129" s="455" t="s">
        <v>108</v>
      </c>
      <c r="C129" s="130">
        <v>1364.344897120001</v>
      </c>
      <c r="D129" s="125">
        <v>1218.2248093700009</v>
      </c>
      <c r="E129" s="125">
        <v>4328.0266264574557</v>
      </c>
      <c r="F129" s="125">
        <f t="shared" si="13"/>
        <v>5546.2514358274566</v>
      </c>
      <c r="G129" s="125">
        <v>10509.499279944153</v>
      </c>
      <c r="H129" s="125">
        <f t="shared" si="12"/>
        <v>16055.75071577161</v>
      </c>
    </row>
    <row r="130" spans="1:8" ht="14.5">
      <c r="A130" s="472"/>
      <c r="B130" s="455" t="s">
        <v>109</v>
      </c>
      <c r="C130" s="130">
        <v>1351.2254403600004</v>
      </c>
      <c r="D130" s="125">
        <v>1212.9761700700005</v>
      </c>
      <c r="E130" s="125">
        <v>4280.7518502957864</v>
      </c>
      <c r="F130" s="125">
        <f t="shared" si="13"/>
        <v>5493.7280203657865</v>
      </c>
      <c r="G130" s="125">
        <v>10539.65635500403</v>
      </c>
      <c r="H130" s="125">
        <f t="shared" si="12"/>
        <v>16033.384375369817</v>
      </c>
    </row>
    <row r="131" spans="1:8" ht="14.5">
      <c r="A131" s="472"/>
      <c r="B131" s="455" t="s">
        <v>110</v>
      </c>
      <c r="C131" s="130">
        <v>1351.7359267300003</v>
      </c>
      <c r="D131" s="125">
        <v>1194.2363152900002</v>
      </c>
      <c r="E131" s="125">
        <v>4327.481281272655</v>
      </c>
      <c r="F131" s="125">
        <f t="shared" si="13"/>
        <v>5521.7175965626557</v>
      </c>
      <c r="G131" s="125">
        <v>10459.523594060796</v>
      </c>
      <c r="H131" s="125">
        <f t="shared" si="12"/>
        <v>15981.241190623452</v>
      </c>
    </row>
    <row r="132" spans="1:8" ht="14.5">
      <c r="A132" s="472"/>
      <c r="B132" s="455" t="s">
        <v>117</v>
      </c>
      <c r="C132" s="130">
        <v>1344.5807025600004</v>
      </c>
      <c r="D132" s="125">
        <v>1195.5281378900004</v>
      </c>
      <c r="E132" s="125">
        <v>4289.288555140316</v>
      </c>
      <c r="F132" s="125">
        <f t="shared" si="13"/>
        <v>5484.8166930303159</v>
      </c>
      <c r="G132" s="125">
        <v>10446.313795554015</v>
      </c>
      <c r="H132" s="125">
        <f t="shared" si="12"/>
        <v>15931.130488584331</v>
      </c>
    </row>
    <row r="133" spans="1:8" ht="14.5">
      <c r="A133" s="472"/>
      <c r="B133" s="455" t="s">
        <v>112</v>
      </c>
      <c r="C133" s="130">
        <v>1363.8324632600013</v>
      </c>
      <c r="D133" s="125">
        <v>1199.5717204900013</v>
      </c>
      <c r="E133" s="125">
        <v>4414.0771728279851</v>
      </c>
      <c r="F133" s="125">
        <f t="shared" si="13"/>
        <v>5613.6488933179862</v>
      </c>
      <c r="G133" s="125">
        <v>10356.3985453147</v>
      </c>
      <c r="H133" s="125">
        <f t="shared" si="12"/>
        <v>15970.047438632686</v>
      </c>
    </row>
    <row r="134" spans="1:8" ht="14.5">
      <c r="A134" s="472"/>
      <c r="B134" s="455" t="s">
        <v>113</v>
      </c>
      <c r="C134" s="130">
        <v>1345.9479682299996</v>
      </c>
      <c r="D134" s="125">
        <v>1204.8824919199997</v>
      </c>
      <c r="E134" s="125">
        <v>4413.9876244991819</v>
      </c>
      <c r="F134" s="125">
        <f t="shared" si="13"/>
        <v>5618.8701164191816</v>
      </c>
      <c r="G134" s="125">
        <v>10290.926852202976</v>
      </c>
      <c r="H134" s="125">
        <f t="shared" si="12"/>
        <v>15909.796968622159</v>
      </c>
    </row>
    <row r="135" spans="1:8" ht="14.5">
      <c r="A135" s="472"/>
      <c r="B135" s="455" t="s">
        <v>114</v>
      </c>
      <c r="C135" s="130">
        <v>1366.9272868100004</v>
      </c>
      <c r="D135" s="125">
        <v>1219.8643383900005</v>
      </c>
      <c r="E135" s="125">
        <v>4434.3844270946483</v>
      </c>
      <c r="F135" s="125">
        <f t="shared" si="13"/>
        <v>5654.2487654846491</v>
      </c>
      <c r="G135" s="125">
        <v>9977.1023363021905</v>
      </c>
      <c r="H135" s="125">
        <f t="shared" si="12"/>
        <v>15631.35110178684</v>
      </c>
    </row>
    <row r="136" spans="1:8">
      <c r="A136" s="445"/>
      <c r="B136" s="455" t="s">
        <v>115</v>
      </c>
      <c r="C136" s="130">
        <v>1369.6249699700008</v>
      </c>
      <c r="D136" s="125">
        <v>1220.0606231200009</v>
      </c>
      <c r="E136" s="125">
        <v>4723.4984682899703</v>
      </c>
      <c r="F136" s="125">
        <f t="shared" si="13"/>
        <v>5943.5590914099712</v>
      </c>
      <c r="G136" s="125">
        <v>9979.2070551721044</v>
      </c>
      <c r="H136" s="125">
        <f t="shared" si="12"/>
        <v>15922.766146582075</v>
      </c>
    </row>
    <row r="137" spans="1:8">
      <c r="A137" s="446"/>
      <c r="B137" s="456" t="s">
        <v>116</v>
      </c>
      <c r="C137" s="131">
        <v>1431.4355419100011</v>
      </c>
      <c r="D137" s="127">
        <v>1267.1871295500011</v>
      </c>
      <c r="E137" s="127">
        <v>4593.9724761571251</v>
      </c>
      <c r="F137" s="127">
        <f t="shared" si="13"/>
        <v>5861.1596057071265</v>
      </c>
      <c r="G137" s="127">
        <v>10058.388209957551</v>
      </c>
      <c r="H137" s="127">
        <f t="shared" si="12"/>
        <v>15919.547815664679</v>
      </c>
    </row>
    <row r="138" spans="1:8" ht="14.5">
      <c r="A138" s="471">
        <v>2022</v>
      </c>
      <c r="B138" s="454" t="s">
        <v>105</v>
      </c>
      <c r="C138" s="124">
        <v>1432.9780902000016</v>
      </c>
      <c r="D138" s="124">
        <v>1282.5457600000016</v>
      </c>
      <c r="E138" s="124">
        <v>4588.4046231320053</v>
      </c>
      <c r="F138" s="124">
        <f t="shared" si="13"/>
        <v>5870.9503831320071</v>
      </c>
      <c r="G138" s="124">
        <v>10128.904279594539</v>
      </c>
      <c r="H138" s="124">
        <f t="shared" si="12"/>
        <v>15999.854662726546</v>
      </c>
    </row>
    <row r="139" spans="1:8">
      <c r="A139" s="445"/>
      <c r="B139" s="455" t="s">
        <v>106</v>
      </c>
      <c r="C139" s="125">
        <v>1422.2380442999997</v>
      </c>
      <c r="D139" s="125">
        <v>1284.5833195299995</v>
      </c>
      <c r="E139" s="125">
        <v>4636.8125037216305</v>
      </c>
      <c r="F139" s="125">
        <f t="shared" si="13"/>
        <v>5921.3958232516297</v>
      </c>
      <c r="G139" s="125">
        <v>10131.40977750562</v>
      </c>
      <c r="H139" s="125">
        <f t="shared" si="12"/>
        <v>16052.805600757249</v>
      </c>
    </row>
    <row r="140" spans="1:8">
      <c r="A140" s="445"/>
      <c r="B140" s="455" t="s">
        <v>107</v>
      </c>
      <c r="C140" s="125">
        <v>1431.6449972299997</v>
      </c>
      <c r="D140" s="125">
        <v>1276.4138597699998</v>
      </c>
      <c r="E140" s="125">
        <v>4854.6983007839717</v>
      </c>
      <c r="F140" s="125">
        <f t="shared" si="13"/>
        <v>6131.112160553972</v>
      </c>
      <c r="G140" s="125">
        <v>10062.266285289639</v>
      </c>
      <c r="H140" s="125">
        <f t="shared" si="12"/>
        <v>16193.378445843611</v>
      </c>
    </row>
    <row r="141" spans="1:8">
      <c r="A141" s="445"/>
      <c r="B141" s="455" t="s">
        <v>108</v>
      </c>
      <c r="C141" s="125">
        <v>1439.95720211</v>
      </c>
      <c r="D141" s="125">
        <v>1300.54426317</v>
      </c>
      <c r="E141" s="125">
        <v>4736.9793368385335</v>
      </c>
      <c r="F141" s="125">
        <f t="shared" si="13"/>
        <v>6037.5236000085333</v>
      </c>
      <c r="G141" s="125">
        <v>10089.717899416808</v>
      </c>
      <c r="H141" s="125">
        <f t="shared" si="12"/>
        <v>16127.241499425341</v>
      </c>
    </row>
    <row r="142" spans="1:8">
      <c r="A142" s="445"/>
      <c r="B142" s="455" t="s">
        <v>109</v>
      </c>
      <c r="C142" s="125">
        <v>1411.1797910499988</v>
      </c>
      <c r="D142" s="125">
        <v>1265.7832494699987</v>
      </c>
      <c r="E142" s="125">
        <v>5107.5951079667093</v>
      </c>
      <c r="F142" s="125">
        <f t="shared" si="13"/>
        <v>6373.378357436708</v>
      </c>
      <c r="G142" s="125">
        <v>10252.846360706533</v>
      </c>
      <c r="H142" s="125">
        <f t="shared" si="12"/>
        <v>16626.224718143239</v>
      </c>
    </row>
    <row r="143" spans="1:8">
      <c r="A143" s="445"/>
      <c r="B143" s="455" t="s">
        <v>110</v>
      </c>
      <c r="C143" s="125">
        <v>1401.9744384400021</v>
      </c>
      <c r="D143" s="125">
        <v>1262.9935320800021</v>
      </c>
      <c r="E143" s="125">
        <v>4615.7085179587157</v>
      </c>
      <c r="F143" s="125">
        <f t="shared" si="13"/>
        <v>5878.702050038718</v>
      </c>
      <c r="G143" s="125">
        <v>10187.36514504367</v>
      </c>
      <c r="H143" s="125">
        <f t="shared" si="12"/>
        <v>16066.067195082389</v>
      </c>
    </row>
    <row r="144" spans="1:8">
      <c r="A144" s="445"/>
      <c r="B144" s="455" t="s">
        <v>117</v>
      </c>
      <c r="C144" s="125">
        <v>1391.1984591800012</v>
      </c>
      <c r="D144" s="125">
        <v>1257.4828862300012</v>
      </c>
      <c r="E144" s="125">
        <v>4782.1397314153928</v>
      </c>
      <c r="F144" s="125">
        <f t="shared" si="13"/>
        <v>6039.6226176453938</v>
      </c>
      <c r="G144" s="125">
        <v>10447.957248647193</v>
      </c>
      <c r="H144" s="125">
        <f t="shared" si="12"/>
        <v>16487.579866292588</v>
      </c>
    </row>
    <row r="145" spans="1:8">
      <c r="A145" s="445"/>
      <c r="B145" s="455" t="s">
        <v>112</v>
      </c>
      <c r="C145" s="125">
        <v>1389.3364136399982</v>
      </c>
      <c r="D145" s="125">
        <v>1233.4892068599981</v>
      </c>
      <c r="E145" s="125">
        <v>4611.9967865575527</v>
      </c>
      <c r="F145" s="125">
        <f t="shared" si="13"/>
        <v>5845.4859934175511</v>
      </c>
      <c r="G145" s="125">
        <v>10411.789408829361</v>
      </c>
      <c r="H145" s="125">
        <f t="shared" ref="H145:H179" si="14">F145+G145</f>
        <v>16257.275402246913</v>
      </c>
    </row>
    <row r="146" spans="1:8">
      <c r="A146" s="445"/>
      <c r="B146" s="455" t="s">
        <v>113</v>
      </c>
      <c r="C146" s="125">
        <v>1364.2583001700013</v>
      </c>
      <c r="D146" s="125">
        <v>1228.3226320800013</v>
      </c>
      <c r="E146" s="125">
        <v>4545.7496960818253</v>
      </c>
      <c r="F146" s="125">
        <f t="shared" ref="F146:F179" si="15">D146+E146</f>
        <v>5774.0723281618266</v>
      </c>
      <c r="G146" s="125">
        <v>10693.533172220759</v>
      </c>
      <c r="H146" s="125">
        <f t="shared" si="14"/>
        <v>16467.605500382586</v>
      </c>
    </row>
    <row r="147" spans="1:8">
      <c r="A147" s="445"/>
      <c r="B147" s="455" t="s">
        <v>114</v>
      </c>
      <c r="C147" s="125">
        <v>1361.6274651999993</v>
      </c>
      <c r="D147" s="125">
        <v>1220.3446089199992</v>
      </c>
      <c r="E147" s="125">
        <v>4527.437166970034</v>
      </c>
      <c r="F147" s="125">
        <f t="shared" si="15"/>
        <v>5747.7817758900328</v>
      </c>
      <c r="G147" s="125">
        <v>10317.101965261802</v>
      </c>
      <c r="H147" s="125">
        <f t="shared" si="14"/>
        <v>16064.883741151834</v>
      </c>
    </row>
    <row r="148" spans="1:8">
      <c r="A148" s="445"/>
      <c r="B148" s="455" t="s">
        <v>115</v>
      </c>
      <c r="C148" s="125">
        <v>1359.1085463099992</v>
      </c>
      <c r="D148" s="125">
        <v>1220.6359658699992</v>
      </c>
      <c r="E148" s="125">
        <v>4457.2443892749734</v>
      </c>
      <c r="F148" s="125">
        <f t="shared" si="15"/>
        <v>5677.8803551449728</v>
      </c>
      <c r="G148" s="125">
        <v>10180.388367971998</v>
      </c>
      <c r="H148" s="125">
        <f t="shared" si="14"/>
        <v>15858.268723116971</v>
      </c>
    </row>
    <row r="149" spans="1:8">
      <c r="A149" s="446"/>
      <c r="B149" s="456" t="s">
        <v>116</v>
      </c>
      <c r="C149" s="127">
        <v>1422.2726778999961</v>
      </c>
      <c r="D149" s="127">
        <v>1255.7973912899963</v>
      </c>
      <c r="E149" s="127">
        <v>4677.8128776112935</v>
      </c>
      <c r="F149" s="127">
        <f t="shared" si="15"/>
        <v>5933.6102689012896</v>
      </c>
      <c r="G149" s="127">
        <v>10185.171436569288</v>
      </c>
      <c r="H149" s="127">
        <f t="shared" si="14"/>
        <v>16118.781705470577</v>
      </c>
    </row>
    <row r="150" spans="1:8" ht="14.5">
      <c r="A150" s="471">
        <v>2023</v>
      </c>
      <c r="B150" s="454" t="s">
        <v>105</v>
      </c>
      <c r="C150" s="124">
        <v>1414.3585624499999</v>
      </c>
      <c r="D150" s="124">
        <v>1249.9587455000001</v>
      </c>
      <c r="E150" s="124">
        <v>4616.8495753344159</v>
      </c>
      <c r="F150" s="124">
        <f t="shared" si="15"/>
        <v>5866.808320834416</v>
      </c>
      <c r="G150" s="124">
        <v>10197.04679602021</v>
      </c>
      <c r="H150" s="124">
        <f t="shared" si="14"/>
        <v>16063.855116854626</v>
      </c>
    </row>
    <row r="151" spans="1:8">
      <c r="A151" s="445"/>
      <c r="B151" s="455" t="s">
        <v>106</v>
      </c>
      <c r="C151" s="125">
        <v>1378.578</v>
      </c>
      <c r="D151" s="125">
        <v>1231.9726936499999</v>
      </c>
      <c r="E151" s="125">
        <v>4386.5780709190931</v>
      </c>
      <c r="F151" s="125">
        <f t="shared" si="15"/>
        <v>5618.5507645690932</v>
      </c>
      <c r="G151" s="125">
        <v>10495.644213456011</v>
      </c>
      <c r="H151" s="125">
        <f t="shared" si="14"/>
        <v>16114.194978025105</v>
      </c>
    </row>
    <row r="152" spans="1:8">
      <c r="A152" s="445"/>
      <c r="B152" s="455" t="s">
        <v>107</v>
      </c>
      <c r="C152" s="125">
        <v>1384.8273224199982</v>
      </c>
      <c r="D152" s="125">
        <v>1231.4218708599983</v>
      </c>
      <c r="E152" s="125">
        <v>4542.4615691032423</v>
      </c>
      <c r="F152" s="125">
        <f t="shared" si="15"/>
        <v>5773.8834399632406</v>
      </c>
      <c r="G152" s="125">
        <v>10188.859909562827</v>
      </c>
      <c r="H152" s="125">
        <f t="shared" si="14"/>
        <v>15962.743349526067</v>
      </c>
    </row>
    <row r="153" spans="1:8">
      <c r="A153" s="445"/>
      <c r="B153" s="455" t="s">
        <v>108</v>
      </c>
      <c r="C153" s="125">
        <v>1429.4059999999999</v>
      </c>
      <c r="D153" s="125">
        <v>1253.80080823</v>
      </c>
      <c r="E153" s="125">
        <v>4582.3008086724303</v>
      </c>
      <c r="F153" s="125">
        <f t="shared" si="15"/>
        <v>5836.1016169024306</v>
      </c>
      <c r="G153" s="125">
        <v>10085.163466251885</v>
      </c>
      <c r="H153" s="125">
        <f t="shared" si="14"/>
        <v>15921.265083154314</v>
      </c>
    </row>
    <row r="154" spans="1:8">
      <c r="A154" s="445"/>
      <c r="B154" s="455" t="s">
        <v>109</v>
      </c>
      <c r="C154" s="125">
        <v>1363.4736073899987</v>
      </c>
      <c r="D154" s="125">
        <v>1221.3104928899988</v>
      </c>
      <c r="E154" s="125">
        <v>4532.1451118808291</v>
      </c>
      <c r="F154" s="125">
        <f t="shared" si="15"/>
        <v>5753.4556047708284</v>
      </c>
      <c r="G154" s="125">
        <v>10255.186844397987</v>
      </c>
      <c r="H154" s="125">
        <f t="shared" si="14"/>
        <v>16008.642449168816</v>
      </c>
    </row>
    <row r="155" spans="1:8">
      <c r="A155" s="445"/>
      <c r="B155" s="455" t="s">
        <v>110</v>
      </c>
      <c r="C155" s="125">
        <v>1366.772190809997</v>
      </c>
      <c r="D155" s="125">
        <v>1223.624233349997</v>
      </c>
      <c r="E155" s="125">
        <v>4766.006180225133</v>
      </c>
      <c r="F155" s="125">
        <f t="shared" si="15"/>
        <v>5989.6304135751298</v>
      </c>
      <c r="G155" s="125">
        <v>10336.244510859848</v>
      </c>
      <c r="H155" s="125">
        <f t="shared" si="14"/>
        <v>16325.874924434978</v>
      </c>
    </row>
    <row r="156" spans="1:8">
      <c r="A156" s="445"/>
      <c r="B156" s="455" t="s">
        <v>117</v>
      </c>
      <c r="C156" s="125">
        <v>1367.0751393800024</v>
      </c>
      <c r="D156" s="125">
        <v>1211.9243254400023</v>
      </c>
      <c r="E156" s="125">
        <v>4493.5819300500325</v>
      </c>
      <c r="F156" s="125">
        <f t="shared" si="15"/>
        <v>5705.5062554900351</v>
      </c>
      <c r="G156" s="125">
        <v>10500.888249397212</v>
      </c>
      <c r="H156" s="125">
        <f t="shared" si="14"/>
        <v>16206.394504887248</v>
      </c>
    </row>
    <row r="157" spans="1:8">
      <c r="A157" s="445"/>
      <c r="B157" s="455" t="s">
        <v>112</v>
      </c>
      <c r="C157" s="125">
        <v>1379.8847061200004</v>
      </c>
      <c r="D157" s="125">
        <v>1218.9928047900003</v>
      </c>
      <c r="E157" s="125">
        <v>4488.7430637014431</v>
      </c>
      <c r="F157" s="125">
        <f t="shared" si="15"/>
        <v>5707.7358684914434</v>
      </c>
      <c r="G157" s="125">
        <v>10673.66274047578</v>
      </c>
      <c r="H157" s="125">
        <f t="shared" si="14"/>
        <v>16381.398608967223</v>
      </c>
    </row>
    <row r="158" spans="1:8">
      <c r="A158" s="445"/>
      <c r="B158" s="455" t="s">
        <v>113</v>
      </c>
      <c r="C158" s="125">
        <v>1361.4610041600038</v>
      </c>
      <c r="D158" s="125">
        <v>1225.257530860004</v>
      </c>
      <c r="E158" s="125">
        <v>4731.2920741547832</v>
      </c>
      <c r="F158" s="125">
        <f t="shared" si="15"/>
        <v>5956.5496050147867</v>
      </c>
      <c r="G158" s="125">
        <v>10314.295401529804</v>
      </c>
      <c r="H158" s="125">
        <f t="shared" si="14"/>
        <v>16270.84500654459</v>
      </c>
    </row>
    <row r="159" spans="1:8">
      <c r="A159" s="445"/>
      <c r="B159" s="455" t="s">
        <v>114</v>
      </c>
      <c r="C159" s="125">
        <v>1375.1790825600008</v>
      </c>
      <c r="D159" s="125">
        <v>1214.4767555500009</v>
      </c>
      <c r="E159" s="125">
        <v>4539.9028262564316</v>
      </c>
      <c r="F159" s="125">
        <f t="shared" si="15"/>
        <v>5754.3795818064327</v>
      </c>
      <c r="G159" s="125">
        <v>10717.906759671674</v>
      </c>
      <c r="H159" s="125">
        <f t="shared" si="14"/>
        <v>16472.286341478106</v>
      </c>
    </row>
    <row r="160" spans="1:8">
      <c r="A160" s="445"/>
      <c r="B160" s="455" t="s">
        <v>115</v>
      </c>
      <c r="C160" s="125">
        <v>1363.3545229300041</v>
      </c>
      <c r="D160" s="125">
        <v>1221.2046992100043</v>
      </c>
      <c r="E160" s="125">
        <v>4726.1522013654203</v>
      </c>
      <c r="F160" s="125">
        <f t="shared" si="15"/>
        <v>5947.3569005754243</v>
      </c>
      <c r="G160" s="125">
        <v>10547.492703494447</v>
      </c>
      <c r="H160" s="125">
        <f t="shared" si="14"/>
        <v>16494.84960406987</v>
      </c>
    </row>
    <row r="161" spans="1:10">
      <c r="A161" s="446"/>
      <c r="B161" s="456" t="s">
        <v>116</v>
      </c>
      <c r="C161" s="127">
        <v>1417.0319067500036</v>
      </c>
      <c r="D161" s="127">
        <v>1261.8936681800037</v>
      </c>
      <c r="E161" s="127">
        <v>4710.3731777866833</v>
      </c>
      <c r="F161" s="127">
        <f t="shared" si="15"/>
        <v>5972.2668459666875</v>
      </c>
      <c r="G161" s="127">
        <v>10580.003459967984</v>
      </c>
      <c r="H161" s="127">
        <f t="shared" si="14"/>
        <v>16552.270305934671</v>
      </c>
    </row>
    <row r="162" spans="1:10" ht="14.5">
      <c r="A162" s="471">
        <v>2024</v>
      </c>
      <c r="B162" s="454" t="s">
        <v>105</v>
      </c>
      <c r="C162" s="124">
        <v>1408.379641850004</v>
      </c>
      <c r="D162" s="124">
        <v>1253.455826920004</v>
      </c>
      <c r="E162" s="124">
        <v>4861.604377030565</v>
      </c>
      <c r="F162" s="124">
        <f t="shared" si="15"/>
        <v>6115.0602039505693</v>
      </c>
      <c r="G162" s="124">
        <v>10725.747919241301</v>
      </c>
      <c r="H162" s="124">
        <f t="shared" si="14"/>
        <v>16840.80812319187</v>
      </c>
    </row>
    <row r="163" spans="1:10">
      <c r="A163" s="445"/>
      <c r="B163" s="455" t="s">
        <v>106</v>
      </c>
      <c r="C163" s="125">
        <v>1401.9179379900038</v>
      </c>
      <c r="D163" s="125">
        <v>1252.9711443700037</v>
      </c>
      <c r="E163" s="125">
        <v>4717.6734718866546</v>
      </c>
      <c r="F163" s="125">
        <f t="shared" si="15"/>
        <v>5970.6446162566581</v>
      </c>
      <c r="G163" s="125">
        <v>10788.373783737043</v>
      </c>
      <c r="H163" s="125">
        <f t="shared" si="14"/>
        <v>16759.0183999937</v>
      </c>
    </row>
    <row r="164" spans="1:10">
      <c r="A164" s="445"/>
      <c r="B164" s="455" t="s">
        <v>107</v>
      </c>
      <c r="C164" s="125">
        <v>1408.441071820002</v>
      </c>
      <c r="D164" s="125">
        <v>1264.9012937800021</v>
      </c>
      <c r="E164" s="125">
        <v>4942.1318479920801</v>
      </c>
      <c r="F164" s="125">
        <f t="shared" si="15"/>
        <v>6207.0331417720827</v>
      </c>
      <c r="G164" s="125">
        <v>10773.46909293854</v>
      </c>
      <c r="H164" s="125">
        <f t="shared" si="14"/>
        <v>16980.502234710621</v>
      </c>
    </row>
    <row r="165" spans="1:10">
      <c r="A165" s="445"/>
      <c r="B165" s="455" t="s">
        <v>108</v>
      </c>
      <c r="C165" s="125">
        <v>1387.465697379997</v>
      </c>
      <c r="D165" s="125">
        <v>1240.313873099997</v>
      </c>
      <c r="E165" s="125">
        <v>4727.2468791547644</v>
      </c>
      <c r="F165" s="125">
        <f t="shared" si="15"/>
        <v>5967.5607522547616</v>
      </c>
      <c r="G165" s="125">
        <v>10811.491044334965</v>
      </c>
      <c r="H165" s="125">
        <f t="shared" si="14"/>
        <v>16779.051796589727</v>
      </c>
    </row>
    <row r="166" spans="1:10">
      <c r="A166" s="445"/>
      <c r="B166" s="455" t="s">
        <v>109</v>
      </c>
      <c r="C166" s="125">
        <v>1363.4389171199946</v>
      </c>
      <c r="D166" s="125">
        <v>1222.7325457199947</v>
      </c>
      <c r="E166" s="125">
        <v>4466.7607263314276</v>
      </c>
      <c r="F166" s="125">
        <f t="shared" si="15"/>
        <v>5689.4932720514225</v>
      </c>
      <c r="G166" s="125">
        <v>11016.451321681019</v>
      </c>
      <c r="H166" s="125">
        <f t="shared" si="14"/>
        <v>16705.944593732442</v>
      </c>
    </row>
    <row r="167" spans="1:10">
      <c r="A167" s="445"/>
      <c r="B167" s="455" t="s">
        <v>110</v>
      </c>
      <c r="C167" s="125">
        <v>1353.671081869998</v>
      </c>
      <c r="D167" s="125">
        <v>1229.4923749499981</v>
      </c>
      <c r="E167" s="125">
        <v>4318.6705432036306</v>
      </c>
      <c r="F167" s="125">
        <f t="shared" si="15"/>
        <v>5548.1629181536282</v>
      </c>
      <c r="G167" s="125">
        <v>11030.37810872378</v>
      </c>
      <c r="H167" s="125">
        <f t="shared" si="14"/>
        <v>16578.541026877407</v>
      </c>
    </row>
    <row r="168" spans="1:10">
      <c r="A168" s="445"/>
      <c r="B168" s="455" t="s">
        <v>117</v>
      </c>
      <c r="C168" s="125">
        <v>1363.9222087099972</v>
      </c>
      <c r="D168" s="125">
        <v>1217.2663247499972</v>
      </c>
      <c r="E168" s="125">
        <v>4382.7569353664885</v>
      </c>
      <c r="F168" s="125">
        <f t="shared" si="15"/>
        <v>5600.0232601164862</v>
      </c>
      <c r="G168" s="125">
        <v>11198.565965642936</v>
      </c>
      <c r="H168" s="125">
        <f t="shared" si="14"/>
        <v>16798.589225759424</v>
      </c>
    </row>
    <row r="169" spans="1:10">
      <c r="A169" s="445"/>
      <c r="B169" s="455" t="s">
        <v>112</v>
      </c>
      <c r="C169" s="125">
        <v>1361.079</v>
      </c>
      <c r="D169" s="125">
        <v>1216.0984091400001</v>
      </c>
      <c r="E169" s="125">
        <v>4336.200397998904</v>
      </c>
      <c r="F169" s="125">
        <f t="shared" si="15"/>
        <v>5552.2988071389045</v>
      </c>
      <c r="G169" s="125">
        <v>10934.670193229183</v>
      </c>
      <c r="H169" s="125">
        <f t="shared" si="14"/>
        <v>16486.969000368088</v>
      </c>
    </row>
    <row r="170" spans="1:10">
      <c r="A170" s="445"/>
      <c r="B170" s="455" t="s">
        <v>113</v>
      </c>
      <c r="C170" s="125">
        <v>1362.4791516399987</v>
      </c>
      <c r="D170" s="125">
        <v>1215.3738036199986</v>
      </c>
      <c r="E170" s="125">
        <v>4390.595008822349</v>
      </c>
      <c r="F170" s="125">
        <f t="shared" si="15"/>
        <v>5605.9688124423474</v>
      </c>
      <c r="G170" s="125">
        <v>10994.448912102482</v>
      </c>
      <c r="H170" s="125">
        <f t="shared" si="14"/>
        <v>16600.41772454483</v>
      </c>
    </row>
    <row r="171" spans="1:10">
      <c r="A171" s="445"/>
      <c r="B171" s="455" t="s">
        <v>114</v>
      </c>
      <c r="C171" s="125">
        <v>1353.7334956499976</v>
      </c>
      <c r="D171" s="125">
        <v>1209.3437240399976</v>
      </c>
      <c r="E171" s="125">
        <v>4377.7505355756693</v>
      </c>
      <c r="F171" s="125">
        <f t="shared" si="15"/>
        <v>5587.0942596156674</v>
      </c>
      <c r="G171" s="125">
        <v>11137.835906102424</v>
      </c>
      <c r="H171" s="125">
        <f t="shared" si="14"/>
        <v>16724.930165718091</v>
      </c>
    </row>
    <row r="172" spans="1:10">
      <c r="A172" s="445"/>
      <c r="B172" s="455" t="s">
        <v>115</v>
      </c>
      <c r="C172" s="125">
        <v>1356.9954279799986</v>
      </c>
      <c r="D172" s="125">
        <v>1224.3703264299984</v>
      </c>
      <c r="E172" s="125">
        <v>4393.4404719135018</v>
      </c>
      <c r="F172" s="125">
        <f t="shared" si="15"/>
        <v>5617.8107983435002</v>
      </c>
      <c r="G172" s="125">
        <v>11052.491101657717</v>
      </c>
      <c r="H172" s="125">
        <f t="shared" si="14"/>
        <v>16670.301900001217</v>
      </c>
    </row>
    <row r="173" spans="1:10">
      <c r="A173" s="446"/>
      <c r="B173" s="456" t="s">
        <v>116</v>
      </c>
      <c r="C173" s="127">
        <v>1401.4472139299976</v>
      </c>
      <c r="D173" s="127">
        <v>1236.5285406599976</v>
      </c>
      <c r="E173" s="127">
        <v>4680.7235270323163</v>
      </c>
      <c r="F173" s="127">
        <f t="shared" si="15"/>
        <v>5917.2520676923141</v>
      </c>
      <c r="G173" s="127">
        <v>11236.362121484188</v>
      </c>
      <c r="H173" s="127">
        <f t="shared" si="14"/>
        <v>17153.6141891765</v>
      </c>
    </row>
    <row r="174" spans="1:10" ht="14.5">
      <c r="A174" s="471">
        <v>2025</v>
      </c>
      <c r="B174" s="454" t="s">
        <v>105</v>
      </c>
      <c r="C174" s="124">
        <v>1437.0358022799985</v>
      </c>
      <c r="D174" s="124">
        <v>1258.6804471199985</v>
      </c>
      <c r="E174" s="124">
        <v>4829.5832786593819</v>
      </c>
      <c r="F174" s="124">
        <f t="shared" si="15"/>
        <v>6088.2637257793804</v>
      </c>
      <c r="G174" s="124">
        <v>11045.806735859616</v>
      </c>
      <c r="H174" s="124">
        <f t="shared" si="14"/>
        <v>17134.070461638996</v>
      </c>
      <c r="J174" s="72"/>
    </row>
    <row r="175" spans="1:10">
      <c r="A175" s="445"/>
      <c r="B175" s="455" t="s">
        <v>106</v>
      </c>
      <c r="C175" s="125">
        <v>1391.392961699999</v>
      </c>
      <c r="D175" s="125">
        <v>1243.8268579499993</v>
      </c>
      <c r="E175" s="125">
        <v>4782.0858276984764</v>
      </c>
      <c r="F175" s="125">
        <f t="shared" si="15"/>
        <v>6025.9126856484754</v>
      </c>
      <c r="G175" s="125">
        <v>11299.00302078946</v>
      </c>
      <c r="H175" s="125">
        <f t="shared" si="14"/>
        <v>17324.915706437936</v>
      </c>
      <c r="J175" s="72"/>
    </row>
    <row r="176" spans="1:10">
      <c r="A176" s="445"/>
      <c r="B176" s="455" t="s">
        <v>107</v>
      </c>
      <c r="C176" s="125">
        <v>1410.6864689599977</v>
      </c>
      <c r="D176" s="125">
        <v>1270.8092484499975</v>
      </c>
      <c r="E176" s="125">
        <v>4690.990349440438</v>
      </c>
      <c r="F176" s="125">
        <f t="shared" si="15"/>
        <v>5961.7995978904355</v>
      </c>
      <c r="G176" s="125">
        <v>11249.141647748349</v>
      </c>
      <c r="H176" s="125">
        <f t="shared" si="14"/>
        <v>17210.941245638784</v>
      </c>
      <c r="J176" s="72"/>
    </row>
    <row r="177" spans="1:10">
      <c r="A177" s="445"/>
      <c r="B177" s="455" t="s">
        <v>108</v>
      </c>
      <c r="C177" s="125">
        <v>1366.9321294499982</v>
      </c>
      <c r="D177" s="125">
        <v>1216.5123938999986</v>
      </c>
      <c r="E177" s="125">
        <v>4640.8285599706351</v>
      </c>
      <c r="F177" s="125">
        <f t="shared" si="15"/>
        <v>5857.3409538706337</v>
      </c>
      <c r="G177" s="125">
        <v>11165.368457345216</v>
      </c>
      <c r="H177" s="125">
        <f t="shared" si="14"/>
        <v>17022.709411215848</v>
      </c>
      <c r="J177" s="72"/>
    </row>
    <row r="178" spans="1:10">
      <c r="A178" s="445"/>
      <c r="B178" s="455" t="s">
        <v>109</v>
      </c>
      <c r="C178" s="125">
        <v>1350.27572824</v>
      </c>
      <c r="D178" s="125">
        <v>1214.0009911500001</v>
      </c>
      <c r="E178" s="125">
        <v>4532.0478389900154</v>
      </c>
      <c r="F178" s="125">
        <f t="shared" si="15"/>
        <v>5746.0488301400155</v>
      </c>
      <c r="G178" s="125">
        <v>11409.773848316905</v>
      </c>
      <c r="H178" s="125">
        <f t="shared" si="14"/>
        <v>17155.82267845692</v>
      </c>
      <c r="J178" s="72"/>
    </row>
    <row r="179" spans="1:10">
      <c r="A179" s="446"/>
      <c r="B179" s="456" t="s">
        <v>110</v>
      </c>
      <c r="C179" s="127">
        <v>1342.3623813900003</v>
      </c>
      <c r="D179" s="127">
        <v>1212.3319711400004</v>
      </c>
      <c r="E179" s="127">
        <v>4613.8830857930798</v>
      </c>
      <c r="F179" s="127">
        <f t="shared" si="15"/>
        <v>5826.2150569330806</v>
      </c>
      <c r="G179" s="127">
        <v>11137.175136527598</v>
      </c>
      <c r="H179" s="127">
        <f t="shared" si="14"/>
        <v>16963.390193460677</v>
      </c>
      <c r="J179" s="72"/>
    </row>
    <row r="180" spans="1:10" ht="13.5" customHeight="1">
      <c r="C180" s="76"/>
      <c r="D180" s="76"/>
      <c r="F180" s="76"/>
    </row>
    <row r="181" spans="1:10">
      <c r="A181" s="491" t="s">
        <v>118</v>
      </c>
      <c r="B181" s="474"/>
      <c r="C181" s="474"/>
      <c r="D181" s="474"/>
      <c r="E181" s="474"/>
      <c r="F181" s="474"/>
      <c r="G181" s="72"/>
      <c r="H181" s="67"/>
    </row>
    <row r="182" spans="1:10">
      <c r="A182" s="475"/>
      <c r="B182" s="474"/>
      <c r="C182" s="482"/>
      <c r="D182" s="482"/>
      <c r="E182" s="483"/>
      <c r="F182" s="483"/>
      <c r="G182" s="72"/>
      <c r="H182" s="67"/>
    </row>
    <row r="183" spans="1:10">
      <c r="A183" s="475" t="s">
        <v>119</v>
      </c>
      <c r="B183" s="474"/>
      <c r="C183" s="482"/>
      <c r="D183" s="484"/>
      <c r="E183" s="483"/>
      <c r="F183" s="483"/>
      <c r="G183" s="72"/>
      <c r="H183" s="67"/>
    </row>
    <row r="184" spans="1:10">
      <c r="A184" s="475" t="s">
        <v>120</v>
      </c>
      <c r="B184" s="474"/>
      <c r="C184" s="474"/>
      <c r="D184" s="484"/>
      <c r="E184" s="483"/>
      <c r="F184" s="474"/>
      <c r="G184" s="72"/>
      <c r="H184" s="67"/>
    </row>
    <row r="185" spans="1:10">
      <c r="D185" s="75"/>
      <c r="E185" s="73"/>
      <c r="F185" s="72"/>
      <c r="G185" s="72"/>
      <c r="H185" s="67"/>
    </row>
    <row r="186" spans="1:10">
      <c r="D186" s="75"/>
      <c r="E186" s="73"/>
      <c r="G186" s="72"/>
      <c r="H186" s="67"/>
    </row>
    <row r="187" spans="1:10">
      <c r="E187" s="73"/>
      <c r="G187" s="72"/>
      <c r="H187" s="67"/>
    </row>
    <row r="188" spans="1:10">
      <c r="E188" s="73"/>
      <c r="G188" s="72"/>
      <c r="H188" s="67"/>
    </row>
    <row r="189" spans="1:10">
      <c r="G189" s="72"/>
      <c r="H189" s="67"/>
    </row>
    <row r="190" spans="1:10">
      <c r="H190" s="67"/>
    </row>
  </sheetData>
  <sheetProtection formatCells="0" insertColumns="0" insertRows="0" deleteColumns="0" deleteRows="0"/>
  <mergeCells count="8">
    <mergeCell ref="A1:G1"/>
    <mergeCell ref="G4:G5"/>
    <mergeCell ref="H4:H5"/>
    <mergeCell ref="A2:H2"/>
    <mergeCell ref="A3:B5"/>
    <mergeCell ref="C3:C5"/>
    <mergeCell ref="D4:F4"/>
    <mergeCell ref="D3:H3"/>
  </mergeCells>
  <printOptions horizontalCentered="1"/>
  <pageMargins left="0.7" right="0.7" top="0.75" bottom="0.75" header="0.3" footer="0.3"/>
  <pageSetup paperSize="9" orientation="landscape" r:id="rId1"/>
  <ignoredErrors>
    <ignoredError sqref="H114:H116 F114:F1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94"/>
  <sheetViews>
    <sheetView zoomScaleNormal="100" workbookViewId="0">
      <pane xSplit="2" ySplit="4" topLeftCell="C167" activePane="bottomRight" state="frozen"/>
      <selection pane="topRight"/>
      <selection pane="bottomLeft"/>
      <selection pane="bottomRight" sqref="A1:H1"/>
    </sheetView>
  </sheetViews>
  <sheetFormatPr defaultColWidth="9.1796875" defaultRowHeight="13"/>
  <cols>
    <col min="1" max="2" width="6.81640625" style="65" customWidth="1"/>
    <col min="3" max="8" width="12.81640625" style="65" customWidth="1"/>
    <col min="9" max="9" width="14.453125" style="65" customWidth="1"/>
    <col min="10" max="10" width="12.81640625" style="65" customWidth="1"/>
    <col min="11" max="11" width="10.90625" style="65" customWidth="1"/>
    <col min="12" max="12" width="11.1796875" style="65" customWidth="1"/>
    <col min="13" max="16384" width="9.1796875" style="65"/>
  </cols>
  <sheetData>
    <row r="1" spans="1:10">
      <c r="A1" s="716" t="s">
        <v>162</v>
      </c>
      <c r="B1" s="716"/>
      <c r="C1" s="716"/>
      <c r="D1" s="716"/>
      <c r="E1" s="716"/>
      <c r="F1" s="716"/>
      <c r="G1" s="716"/>
      <c r="H1" s="716"/>
    </row>
    <row r="2" spans="1:10">
      <c r="A2" s="750" t="s">
        <v>97</v>
      </c>
      <c r="B2" s="750"/>
      <c r="C2" s="750"/>
      <c r="D2" s="750"/>
      <c r="E2" s="750"/>
      <c r="F2" s="750"/>
      <c r="G2" s="750"/>
      <c r="H2" s="750"/>
      <c r="I2" s="750"/>
      <c r="J2" s="750"/>
    </row>
    <row r="3" spans="1:10" s="68" customFormat="1" ht="22.5" customHeight="1">
      <c r="A3" s="751" t="s">
        <v>98</v>
      </c>
      <c r="B3" s="751"/>
      <c r="C3" s="751" t="s">
        <v>163</v>
      </c>
      <c r="D3" s="749" t="s">
        <v>164</v>
      </c>
      <c r="E3" s="749" t="s">
        <v>165</v>
      </c>
      <c r="F3" s="749" t="s">
        <v>88</v>
      </c>
      <c r="G3" s="749" t="s">
        <v>135</v>
      </c>
      <c r="H3" s="749" t="s">
        <v>90</v>
      </c>
      <c r="I3" s="749" t="s">
        <v>65</v>
      </c>
      <c r="J3" s="749" t="s">
        <v>166</v>
      </c>
    </row>
    <row r="4" spans="1:10" s="68" customFormat="1" ht="22.5" customHeight="1">
      <c r="A4" s="751"/>
      <c r="B4" s="751"/>
      <c r="C4" s="751"/>
      <c r="D4" s="749"/>
      <c r="E4" s="749"/>
      <c r="F4" s="749"/>
      <c r="G4" s="749"/>
      <c r="H4" s="749"/>
      <c r="I4" s="749"/>
      <c r="J4" s="749"/>
    </row>
    <row r="5" spans="1:10" ht="14.5">
      <c r="A5" s="471">
        <v>2011</v>
      </c>
      <c r="B5" s="454" t="s">
        <v>105</v>
      </c>
      <c r="C5" s="136">
        <f>SUM(D5:J5)</f>
        <v>3764.9300000000003</v>
      </c>
      <c r="D5" s="136">
        <v>434.8</v>
      </c>
      <c r="E5" s="136">
        <v>1861.7</v>
      </c>
      <c r="F5" s="136">
        <v>603.47</v>
      </c>
      <c r="G5" s="136">
        <v>0</v>
      </c>
      <c r="H5" s="137">
        <v>57.1</v>
      </c>
      <c r="I5" s="136">
        <v>43.53</v>
      </c>
      <c r="J5" s="138">
        <v>764.33</v>
      </c>
    </row>
    <row r="6" spans="1:10" ht="14.5">
      <c r="A6" s="472"/>
      <c r="B6" s="455" t="s">
        <v>106</v>
      </c>
      <c r="C6" s="139">
        <f>SUM(D6:J6)</f>
        <v>3770.62</v>
      </c>
      <c r="D6" s="139">
        <v>433.61</v>
      </c>
      <c r="E6" s="139">
        <v>1871.32</v>
      </c>
      <c r="F6" s="139">
        <v>601.87</v>
      </c>
      <c r="G6" s="139">
        <v>0</v>
      </c>
      <c r="H6" s="140">
        <v>57.09</v>
      </c>
      <c r="I6" s="139">
        <v>43.53</v>
      </c>
      <c r="J6" s="141">
        <v>763.2</v>
      </c>
    </row>
    <row r="7" spans="1:10" ht="14.5">
      <c r="A7" s="472"/>
      <c r="B7" s="455" t="s">
        <v>107</v>
      </c>
      <c r="C7" s="139">
        <f>SUM(D7:J7)</f>
        <v>3770.29</v>
      </c>
      <c r="D7" s="139">
        <v>431.95</v>
      </c>
      <c r="E7" s="139">
        <v>1863.84</v>
      </c>
      <c r="F7" s="139">
        <v>613.12</v>
      </c>
      <c r="G7" s="139">
        <v>0</v>
      </c>
      <c r="H7" s="140">
        <v>56.32</v>
      </c>
      <c r="I7" s="139">
        <v>43.53</v>
      </c>
      <c r="J7" s="141">
        <v>761.53</v>
      </c>
    </row>
    <row r="8" spans="1:10" ht="14.5">
      <c r="A8" s="472"/>
      <c r="B8" s="455" t="s">
        <v>108</v>
      </c>
      <c r="C8" s="139">
        <f>SUM(D8:J8)</f>
        <v>3779.16</v>
      </c>
      <c r="D8" s="139">
        <v>430.64</v>
      </c>
      <c r="E8" s="139">
        <v>1863.63</v>
      </c>
      <c r="F8" s="139">
        <v>611.87</v>
      </c>
      <c r="G8" s="139">
        <v>0</v>
      </c>
      <c r="H8" s="140">
        <v>60.69</v>
      </c>
      <c r="I8" s="139">
        <v>43.53</v>
      </c>
      <c r="J8" s="141">
        <v>768.8</v>
      </c>
    </row>
    <row r="9" spans="1:10" ht="14.5">
      <c r="A9" s="472"/>
      <c r="B9" s="455" t="s">
        <v>109</v>
      </c>
      <c r="C9" s="139">
        <f>SUM(D9:J9)</f>
        <v>3859.51</v>
      </c>
      <c r="D9" s="139">
        <v>427.08</v>
      </c>
      <c r="E9" s="139">
        <v>1939.94</v>
      </c>
      <c r="F9" s="139">
        <v>627.13</v>
      </c>
      <c r="G9" s="139">
        <v>0</v>
      </c>
      <c r="H9" s="140">
        <v>56.6</v>
      </c>
      <c r="I9" s="139">
        <v>43.53</v>
      </c>
      <c r="J9" s="141">
        <v>765.23</v>
      </c>
    </row>
    <row r="10" spans="1:10" ht="14.5">
      <c r="A10" s="472"/>
      <c r="B10" s="455" t="s">
        <v>110</v>
      </c>
      <c r="C10" s="139">
        <f t="shared" ref="C10:C70" si="0">SUM(D10:J10)</f>
        <v>3832.69</v>
      </c>
      <c r="D10" s="139">
        <v>425.75</v>
      </c>
      <c r="E10" s="139">
        <v>1921.51</v>
      </c>
      <c r="F10" s="139">
        <v>622.32000000000005</v>
      </c>
      <c r="G10" s="139">
        <v>0</v>
      </c>
      <c r="H10" s="140">
        <v>55.6</v>
      </c>
      <c r="I10" s="139">
        <v>43.62</v>
      </c>
      <c r="J10" s="141">
        <v>763.89</v>
      </c>
    </row>
    <row r="11" spans="1:10" ht="14.5">
      <c r="A11" s="472"/>
      <c r="B11" s="455" t="s">
        <v>111</v>
      </c>
      <c r="C11" s="139">
        <f t="shared" si="0"/>
        <v>3824.54</v>
      </c>
      <c r="D11" s="139">
        <v>416.68</v>
      </c>
      <c r="E11" s="139">
        <v>1909.14</v>
      </c>
      <c r="F11" s="139">
        <v>639.16</v>
      </c>
      <c r="G11" s="139">
        <v>0</v>
      </c>
      <c r="H11" s="140">
        <v>53.64</v>
      </c>
      <c r="I11" s="139">
        <v>51.13</v>
      </c>
      <c r="J11" s="141">
        <v>754.79</v>
      </c>
    </row>
    <row r="12" spans="1:10" ht="14.5">
      <c r="A12" s="472"/>
      <c r="B12" s="455" t="s">
        <v>112</v>
      </c>
      <c r="C12" s="139">
        <f t="shared" si="0"/>
        <v>4034.2400000000002</v>
      </c>
      <c r="D12" s="139">
        <v>419.6</v>
      </c>
      <c r="E12" s="139">
        <v>1988.94</v>
      </c>
      <c r="F12" s="139">
        <v>767.25</v>
      </c>
      <c r="G12" s="139">
        <v>0</v>
      </c>
      <c r="H12" s="140">
        <v>48.38</v>
      </c>
      <c r="I12" s="139">
        <v>52.38</v>
      </c>
      <c r="J12" s="141">
        <v>757.69</v>
      </c>
    </row>
    <row r="13" spans="1:10" ht="14.5">
      <c r="A13" s="472"/>
      <c r="B13" s="455" t="s">
        <v>113</v>
      </c>
      <c r="C13" s="139">
        <f t="shared" si="0"/>
        <v>4051.87</v>
      </c>
      <c r="D13" s="139">
        <v>584.14</v>
      </c>
      <c r="E13" s="139">
        <v>1816.37</v>
      </c>
      <c r="F13" s="139">
        <v>771.02</v>
      </c>
      <c r="G13" s="139">
        <v>0</v>
      </c>
      <c r="H13" s="140">
        <v>50.28</v>
      </c>
      <c r="I13" s="139">
        <v>52.61</v>
      </c>
      <c r="J13" s="141">
        <v>777.45</v>
      </c>
    </row>
    <row r="14" spans="1:10" ht="14.5">
      <c r="A14" s="472"/>
      <c r="B14" s="455" t="s">
        <v>114</v>
      </c>
      <c r="C14" s="139">
        <f t="shared" si="0"/>
        <v>4062.1099999999997</v>
      </c>
      <c r="D14" s="139">
        <v>579.21</v>
      </c>
      <c r="E14" s="139">
        <v>1864.06</v>
      </c>
      <c r="F14" s="139">
        <v>763.52</v>
      </c>
      <c r="G14" s="139">
        <v>0</v>
      </c>
      <c r="H14" s="140">
        <v>54.22</v>
      </c>
      <c r="I14" s="139">
        <v>52.72</v>
      </c>
      <c r="J14" s="141">
        <v>748.38</v>
      </c>
    </row>
    <row r="15" spans="1:10" ht="14.5">
      <c r="A15" s="472"/>
      <c r="B15" s="455" t="s">
        <v>115</v>
      </c>
      <c r="C15" s="139">
        <f t="shared" si="0"/>
        <v>4152.01</v>
      </c>
      <c r="D15" s="139">
        <v>588.39</v>
      </c>
      <c r="E15" s="139">
        <v>1933.41</v>
      </c>
      <c r="F15" s="139">
        <v>768.44</v>
      </c>
      <c r="G15" s="139">
        <v>0</v>
      </c>
      <c r="H15" s="140">
        <v>53.95</v>
      </c>
      <c r="I15" s="139">
        <v>53.41</v>
      </c>
      <c r="J15" s="141">
        <v>754.41</v>
      </c>
    </row>
    <row r="16" spans="1:10" ht="14.5">
      <c r="A16" s="473"/>
      <c r="B16" s="456" t="s">
        <v>116</v>
      </c>
      <c r="C16" s="142">
        <f t="shared" si="0"/>
        <v>4730.5599999999995</v>
      </c>
      <c r="D16" s="142">
        <v>568.26</v>
      </c>
      <c r="E16" s="142">
        <v>2658.35</v>
      </c>
      <c r="F16" s="142">
        <v>636.02</v>
      </c>
      <c r="G16" s="142">
        <v>0</v>
      </c>
      <c r="H16" s="143">
        <v>53.97</v>
      </c>
      <c r="I16" s="142">
        <v>52.74</v>
      </c>
      <c r="J16" s="144">
        <v>761.22</v>
      </c>
    </row>
    <row r="17" spans="1:10" ht="14.5">
      <c r="A17" s="472">
        <v>2012</v>
      </c>
      <c r="B17" s="455" t="s">
        <v>105</v>
      </c>
      <c r="C17" s="139">
        <f t="shared" si="0"/>
        <v>4018.99</v>
      </c>
      <c r="D17" s="139">
        <v>557.27</v>
      </c>
      <c r="E17" s="139">
        <v>1967.86</v>
      </c>
      <c r="F17" s="139">
        <v>635.46</v>
      </c>
      <c r="G17" s="139">
        <v>0</v>
      </c>
      <c r="H17" s="140">
        <v>54.96</v>
      </c>
      <c r="I17" s="139">
        <v>52.49</v>
      </c>
      <c r="J17" s="141">
        <v>750.95</v>
      </c>
    </row>
    <row r="18" spans="1:10" ht="14.5">
      <c r="A18" s="472"/>
      <c r="B18" s="455" t="s">
        <v>106</v>
      </c>
      <c r="C18" s="139">
        <f t="shared" si="0"/>
        <v>4152.4400000000005</v>
      </c>
      <c r="D18" s="139">
        <v>556.16999999999996</v>
      </c>
      <c r="E18" s="139">
        <v>2104.27</v>
      </c>
      <c r="F18" s="139">
        <v>632.03</v>
      </c>
      <c r="G18" s="139">
        <v>0</v>
      </c>
      <c r="H18" s="140">
        <v>57.17</v>
      </c>
      <c r="I18" s="139">
        <v>52.84</v>
      </c>
      <c r="J18" s="141">
        <v>749.96</v>
      </c>
    </row>
    <row r="19" spans="1:10" ht="14.5">
      <c r="A19" s="472"/>
      <c r="B19" s="455" t="s">
        <v>107</v>
      </c>
      <c r="C19" s="139">
        <f t="shared" si="0"/>
        <v>4371.0600000000004</v>
      </c>
      <c r="D19" s="139">
        <v>557.58000000000004</v>
      </c>
      <c r="E19" s="139">
        <v>2311.9</v>
      </c>
      <c r="F19" s="139">
        <v>649.14</v>
      </c>
      <c r="G19" s="139">
        <v>0</v>
      </c>
      <c r="H19" s="140">
        <v>57.8</v>
      </c>
      <c r="I19" s="139">
        <v>52.96</v>
      </c>
      <c r="J19" s="141">
        <v>741.68</v>
      </c>
    </row>
    <row r="20" spans="1:10" ht="14.5">
      <c r="A20" s="472"/>
      <c r="B20" s="455" t="s">
        <v>108</v>
      </c>
      <c r="C20" s="139">
        <f t="shared" si="0"/>
        <v>5357.47</v>
      </c>
      <c r="D20" s="139">
        <v>551.26</v>
      </c>
      <c r="E20" s="139">
        <v>3226.42</v>
      </c>
      <c r="F20" s="139">
        <v>734.88</v>
      </c>
      <c r="G20" s="139">
        <v>0</v>
      </c>
      <c r="H20" s="140">
        <v>56.07</v>
      </c>
      <c r="I20" s="139">
        <v>53.46</v>
      </c>
      <c r="J20" s="141">
        <v>735.38</v>
      </c>
    </row>
    <row r="21" spans="1:10" ht="14.5">
      <c r="A21" s="472"/>
      <c r="B21" s="455" t="s">
        <v>109</v>
      </c>
      <c r="C21" s="139">
        <f t="shared" si="0"/>
        <v>5102.2299999999996</v>
      </c>
      <c r="D21" s="139">
        <v>557.16</v>
      </c>
      <c r="E21" s="139">
        <v>2854.08</v>
      </c>
      <c r="F21" s="139">
        <v>845.16</v>
      </c>
      <c r="G21" s="139">
        <v>0</v>
      </c>
      <c r="H21" s="140">
        <v>51.14</v>
      </c>
      <c r="I21" s="139">
        <v>53.41</v>
      </c>
      <c r="J21" s="141">
        <v>741.28</v>
      </c>
    </row>
    <row r="22" spans="1:10" ht="14.5">
      <c r="A22" s="472"/>
      <c r="B22" s="455" t="s">
        <v>110</v>
      </c>
      <c r="C22" s="139">
        <f t="shared" si="0"/>
        <v>5137.7999999999993</v>
      </c>
      <c r="D22" s="139">
        <v>554.42999999999995</v>
      </c>
      <c r="E22" s="139">
        <v>2815.42</v>
      </c>
      <c r="F22" s="139">
        <v>925.67</v>
      </c>
      <c r="G22" s="139">
        <v>0</v>
      </c>
      <c r="H22" s="140">
        <v>52.64</v>
      </c>
      <c r="I22" s="139">
        <v>51.15</v>
      </c>
      <c r="J22" s="141">
        <v>738.49</v>
      </c>
    </row>
    <row r="23" spans="1:10" ht="14.5">
      <c r="A23" s="472"/>
      <c r="B23" s="455" t="s">
        <v>111</v>
      </c>
      <c r="C23" s="139">
        <f t="shared" si="0"/>
        <v>5050.8100000000004</v>
      </c>
      <c r="D23" s="139">
        <v>542.65</v>
      </c>
      <c r="E23" s="139">
        <v>2693.75</v>
      </c>
      <c r="F23" s="139">
        <v>981.58</v>
      </c>
      <c r="G23" s="139">
        <v>0</v>
      </c>
      <c r="H23" s="140">
        <v>55.04</v>
      </c>
      <c r="I23" s="139">
        <v>51.09</v>
      </c>
      <c r="J23" s="141">
        <v>726.7</v>
      </c>
    </row>
    <row r="24" spans="1:10" ht="14.5">
      <c r="A24" s="472"/>
      <c r="B24" s="455" t="s">
        <v>112</v>
      </c>
      <c r="C24" s="139">
        <f t="shared" si="0"/>
        <v>4855.7000000000007</v>
      </c>
      <c r="D24" s="139">
        <v>610.84</v>
      </c>
      <c r="E24" s="139">
        <v>2405.02</v>
      </c>
      <c r="F24" s="139">
        <v>1000.17</v>
      </c>
      <c r="G24" s="139">
        <v>0</v>
      </c>
      <c r="H24" s="140">
        <v>57.36</v>
      </c>
      <c r="I24" s="139">
        <v>50.38</v>
      </c>
      <c r="J24" s="141">
        <v>731.93</v>
      </c>
    </row>
    <row r="25" spans="1:10" ht="14.5">
      <c r="A25" s="472"/>
      <c r="B25" s="455" t="s">
        <v>113</v>
      </c>
      <c r="C25" s="139">
        <f t="shared" si="0"/>
        <v>4630.05</v>
      </c>
      <c r="D25" s="139">
        <v>607.33000000000004</v>
      </c>
      <c r="E25" s="139">
        <v>1989.94</v>
      </c>
      <c r="F25" s="139">
        <v>1160.1199999999999</v>
      </c>
      <c r="G25" s="139">
        <v>0</v>
      </c>
      <c r="H25" s="140">
        <v>58.43</v>
      </c>
      <c r="I25" s="139">
        <v>51.61</v>
      </c>
      <c r="J25" s="141">
        <v>762.62</v>
      </c>
    </row>
    <row r="26" spans="1:10" ht="14.5">
      <c r="A26" s="472"/>
      <c r="B26" s="455" t="s">
        <v>114</v>
      </c>
      <c r="C26" s="139">
        <f t="shared" si="0"/>
        <v>5195.3</v>
      </c>
      <c r="D26" s="139">
        <v>605.27</v>
      </c>
      <c r="E26" s="139">
        <v>2602.44</v>
      </c>
      <c r="F26" s="139">
        <v>1449.63</v>
      </c>
      <c r="G26" s="139">
        <v>0</v>
      </c>
      <c r="H26" s="140">
        <v>60.55</v>
      </c>
      <c r="I26" s="139">
        <v>50.79</v>
      </c>
      <c r="J26" s="141">
        <v>426.62</v>
      </c>
    </row>
    <row r="27" spans="1:10" ht="14.5">
      <c r="A27" s="472"/>
      <c r="B27" s="455" t="s">
        <v>115</v>
      </c>
      <c r="C27" s="139">
        <f t="shared" si="0"/>
        <v>4705.51</v>
      </c>
      <c r="D27" s="139">
        <v>603.89</v>
      </c>
      <c r="E27" s="139">
        <v>2019.93</v>
      </c>
      <c r="F27" s="139">
        <v>1544.57</v>
      </c>
      <c r="G27" s="139">
        <v>0</v>
      </c>
      <c r="H27" s="140">
        <v>61.05</v>
      </c>
      <c r="I27" s="139">
        <v>50.86</v>
      </c>
      <c r="J27" s="141">
        <v>425.21</v>
      </c>
    </row>
    <row r="28" spans="1:10" ht="14.5">
      <c r="A28" s="473"/>
      <c r="B28" s="456" t="s">
        <v>116</v>
      </c>
      <c r="C28" s="142">
        <f t="shared" si="0"/>
        <v>4931.1399999999994</v>
      </c>
      <c r="D28" s="142">
        <v>606.53</v>
      </c>
      <c r="E28" s="142">
        <v>2122.64</v>
      </c>
      <c r="F28" s="142">
        <v>1621.79</v>
      </c>
      <c r="G28" s="142">
        <v>0</v>
      </c>
      <c r="H28" s="143">
        <v>62.19</v>
      </c>
      <c r="I28" s="142">
        <v>92.69</v>
      </c>
      <c r="J28" s="144">
        <v>425.3</v>
      </c>
    </row>
    <row r="29" spans="1:10" ht="14.5">
      <c r="A29" s="472">
        <v>2013</v>
      </c>
      <c r="B29" s="450" t="s">
        <v>105</v>
      </c>
      <c r="C29" s="139">
        <f t="shared" si="0"/>
        <v>5395.7499999999991</v>
      </c>
      <c r="D29" s="139">
        <v>649.05999999999995</v>
      </c>
      <c r="E29" s="139">
        <v>2415.56</v>
      </c>
      <c r="F29" s="139">
        <v>1776.91</v>
      </c>
      <c r="G29" s="145">
        <v>0</v>
      </c>
      <c r="H29" s="140">
        <v>65.73</v>
      </c>
      <c r="I29" s="139">
        <v>56.95</v>
      </c>
      <c r="J29" s="141">
        <v>431.54</v>
      </c>
    </row>
    <row r="30" spans="1:10" ht="14.5">
      <c r="A30" s="472"/>
      <c r="B30" s="450" t="s">
        <v>106</v>
      </c>
      <c r="C30" s="139">
        <f t="shared" si="0"/>
        <v>5065.7999999999993</v>
      </c>
      <c r="D30" s="139">
        <v>641.1</v>
      </c>
      <c r="E30" s="139">
        <v>1616.66</v>
      </c>
      <c r="F30" s="145">
        <v>2262.1999999999998</v>
      </c>
      <c r="G30" s="145">
        <v>0</v>
      </c>
      <c r="H30" s="140">
        <v>65.19</v>
      </c>
      <c r="I30" s="139">
        <v>56.94</v>
      </c>
      <c r="J30" s="141">
        <v>423.71</v>
      </c>
    </row>
    <row r="31" spans="1:10" ht="14.5">
      <c r="A31" s="472"/>
      <c r="B31" s="450" t="s">
        <v>107</v>
      </c>
      <c r="C31" s="139">
        <f t="shared" si="0"/>
        <v>5291.38</v>
      </c>
      <c r="D31" s="139">
        <v>638.97</v>
      </c>
      <c r="E31" s="139">
        <v>1395.24</v>
      </c>
      <c r="F31" s="145">
        <v>2711.35</v>
      </c>
      <c r="G31" s="145">
        <v>0</v>
      </c>
      <c r="H31" s="146">
        <v>65.92</v>
      </c>
      <c r="I31" s="139">
        <v>57.05</v>
      </c>
      <c r="J31" s="141">
        <v>422.85</v>
      </c>
    </row>
    <row r="32" spans="1:10" ht="14.5">
      <c r="A32" s="472"/>
      <c r="B32" s="450" t="s">
        <v>108</v>
      </c>
      <c r="C32" s="139">
        <f t="shared" si="0"/>
        <v>5245.83</v>
      </c>
      <c r="D32" s="139">
        <v>638.86</v>
      </c>
      <c r="E32" s="139">
        <v>869.04</v>
      </c>
      <c r="F32" s="145">
        <v>3194.15</v>
      </c>
      <c r="G32" s="145">
        <v>0</v>
      </c>
      <c r="H32" s="146">
        <v>63.12</v>
      </c>
      <c r="I32" s="139">
        <v>57.87</v>
      </c>
      <c r="J32" s="141">
        <v>422.79</v>
      </c>
    </row>
    <row r="33" spans="1:10" ht="14.5">
      <c r="A33" s="472"/>
      <c r="B33" s="450" t="s">
        <v>109</v>
      </c>
      <c r="C33" s="139">
        <f t="shared" si="0"/>
        <v>4983.76</v>
      </c>
      <c r="D33" s="139">
        <v>644.91999999999996</v>
      </c>
      <c r="E33" s="139">
        <v>790.48</v>
      </c>
      <c r="F33" s="145">
        <v>2997.75</v>
      </c>
      <c r="G33" s="145">
        <v>0</v>
      </c>
      <c r="H33" s="146">
        <v>63.93</v>
      </c>
      <c r="I33" s="139">
        <v>57.77</v>
      </c>
      <c r="J33" s="141">
        <v>428.91</v>
      </c>
    </row>
    <row r="34" spans="1:10" ht="14.5">
      <c r="A34" s="472"/>
      <c r="B34" s="450" t="s">
        <v>110</v>
      </c>
      <c r="C34" s="139">
        <f t="shared" si="0"/>
        <v>5015.03</v>
      </c>
      <c r="D34" s="139">
        <v>647.61</v>
      </c>
      <c r="E34" s="139">
        <v>733.24</v>
      </c>
      <c r="F34" s="145">
        <v>3083.72</v>
      </c>
      <c r="G34" s="145">
        <v>0</v>
      </c>
      <c r="H34" s="146">
        <v>58.02</v>
      </c>
      <c r="I34" s="139">
        <v>60.7</v>
      </c>
      <c r="J34" s="141">
        <v>431.74</v>
      </c>
    </row>
    <row r="35" spans="1:10" ht="14.5">
      <c r="A35" s="472"/>
      <c r="B35" s="450" t="s">
        <v>117</v>
      </c>
      <c r="C35" s="139">
        <f t="shared" si="0"/>
        <v>4937.8</v>
      </c>
      <c r="D35" s="139">
        <v>652.98</v>
      </c>
      <c r="E35" s="139">
        <v>721.44</v>
      </c>
      <c r="F35" s="145">
        <v>2972.22</v>
      </c>
      <c r="G35" s="145">
        <v>0</v>
      </c>
      <c r="H35" s="146">
        <v>70.099999999999994</v>
      </c>
      <c r="I35" s="139">
        <v>84.22</v>
      </c>
      <c r="J35" s="141">
        <v>436.84</v>
      </c>
    </row>
    <row r="36" spans="1:10" ht="14.5">
      <c r="A36" s="472"/>
      <c r="B36" s="450" t="s">
        <v>112</v>
      </c>
      <c r="C36" s="139">
        <f t="shared" si="0"/>
        <v>4925.72</v>
      </c>
      <c r="D36" s="139">
        <v>703.57</v>
      </c>
      <c r="E36" s="139">
        <v>689.8</v>
      </c>
      <c r="F36" s="145">
        <v>2961.76</v>
      </c>
      <c r="G36" s="145">
        <v>0</v>
      </c>
      <c r="H36" s="146">
        <v>68.63</v>
      </c>
      <c r="I36" s="139">
        <v>63.71</v>
      </c>
      <c r="J36" s="141">
        <v>438.25</v>
      </c>
    </row>
    <row r="37" spans="1:10" ht="14.5">
      <c r="A37" s="472"/>
      <c r="B37" s="450" t="s">
        <v>113</v>
      </c>
      <c r="C37" s="139">
        <f t="shared" si="0"/>
        <v>5001.4399999999996</v>
      </c>
      <c r="D37" s="139">
        <v>702.62</v>
      </c>
      <c r="E37" s="139">
        <v>766.86</v>
      </c>
      <c r="F37" s="145">
        <v>2960.14</v>
      </c>
      <c r="G37" s="145">
        <v>0</v>
      </c>
      <c r="H37" s="146">
        <v>70.650000000000006</v>
      </c>
      <c r="I37" s="139">
        <v>63.82</v>
      </c>
      <c r="J37" s="141">
        <v>437.35</v>
      </c>
    </row>
    <row r="38" spans="1:10" ht="14.5">
      <c r="A38" s="472"/>
      <c r="B38" s="450" t="s">
        <v>114</v>
      </c>
      <c r="C38" s="139">
        <f t="shared" si="0"/>
        <v>5247.17</v>
      </c>
      <c r="D38" s="139">
        <v>699.38</v>
      </c>
      <c r="E38" s="139">
        <v>809.96</v>
      </c>
      <c r="F38" s="145">
        <v>3166.76</v>
      </c>
      <c r="G38" s="145">
        <v>0</v>
      </c>
      <c r="H38" s="146">
        <v>74.38</v>
      </c>
      <c r="I38" s="139">
        <v>63.79</v>
      </c>
      <c r="J38" s="141">
        <v>432.9</v>
      </c>
    </row>
    <row r="39" spans="1:10" ht="14.5">
      <c r="A39" s="472"/>
      <c r="B39" s="450" t="s">
        <v>115</v>
      </c>
      <c r="C39" s="139">
        <f t="shared" si="0"/>
        <v>4942.3999999999987</v>
      </c>
      <c r="D39" s="139">
        <v>701.34</v>
      </c>
      <c r="E39" s="139">
        <v>842.41</v>
      </c>
      <c r="F39" s="145">
        <v>2822.72</v>
      </c>
      <c r="G39" s="145">
        <v>0</v>
      </c>
      <c r="H39" s="146">
        <v>76.78</v>
      </c>
      <c r="I39" s="139">
        <v>64.209999999999994</v>
      </c>
      <c r="J39" s="141">
        <v>434.94</v>
      </c>
    </row>
    <row r="40" spans="1:10" ht="14.5">
      <c r="A40" s="473"/>
      <c r="B40" s="452" t="s">
        <v>116</v>
      </c>
      <c r="C40" s="142">
        <f t="shared" si="0"/>
        <v>4947.41</v>
      </c>
      <c r="D40" s="142">
        <v>645.24</v>
      </c>
      <c r="E40" s="142">
        <v>995.86</v>
      </c>
      <c r="F40" s="147">
        <v>2721.32</v>
      </c>
      <c r="G40" s="147">
        <v>0</v>
      </c>
      <c r="H40" s="148">
        <v>78.569999999999993</v>
      </c>
      <c r="I40" s="142">
        <v>64.78</v>
      </c>
      <c r="J40" s="144">
        <v>441.64</v>
      </c>
    </row>
    <row r="41" spans="1:10" ht="14.5">
      <c r="A41" s="472">
        <v>2014</v>
      </c>
      <c r="B41" s="455" t="s">
        <v>105</v>
      </c>
      <c r="C41" s="139">
        <f t="shared" si="0"/>
        <v>5101.8999999999996</v>
      </c>
      <c r="D41" s="139">
        <v>646.4</v>
      </c>
      <c r="E41" s="139">
        <v>940.26</v>
      </c>
      <c r="F41" s="145">
        <v>2946.98</v>
      </c>
      <c r="G41" s="145">
        <v>0</v>
      </c>
      <c r="H41" s="146">
        <v>60.68</v>
      </c>
      <c r="I41" s="139">
        <v>64.86</v>
      </c>
      <c r="J41" s="141">
        <v>442.72</v>
      </c>
    </row>
    <row r="42" spans="1:10" ht="14.5">
      <c r="A42" s="472"/>
      <c r="B42" s="455" t="s">
        <v>106</v>
      </c>
      <c r="C42" s="139">
        <f t="shared" si="0"/>
        <v>4877.9800000000005</v>
      </c>
      <c r="D42" s="139">
        <v>646.58000000000004</v>
      </c>
      <c r="E42" s="139">
        <v>1145.9000000000001</v>
      </c>
      <c r="F42" s="145">
        <v>2514.3000000000002</v>
      </c>
      <c r="G42" s="145">
        <v>0</v>
      </c>
      <c r="H42" s="146">
        <v>62.99</v>
      </c>
      <c r="I42" s="139">
        <v>65.099999999999994</v>
      </c>
      <c r="J42" s="141">
        <v>443.11</v>
      </c>
    </row>
    <row r="43" spans="1:10" ht="14.5">
      <c r="A43" s="472"/>
      <c r="B43" s="455" t="s">
        <v>107</v>
      </c>
      <c r="C43" s="139">
        <f t="shared" si="0"/>
        <v>4633.3</v>
      </c>
      <c r="D43" s="139">
        <v>643.85</v>
      </c>
      <c r="E43" s="139">
        <v>1170.27</v>
      </c>
      <c r="F43" s="145">
        <v>2251.3200000000002</v>
      </c>
      <c r="G43" s="145">
        <v>0</v>
      </c>
      <c r="H43" s="146">
        <v>62.13</v>
      </c>
      <c r="I43" s="139">
        <v>65.59</v>
      </c>
      <c r="J43" s="141">
        <v>440.14</v>
      </c>
    </row>
    <row r="44" spans="1:10" ht="14.5">
      <c r="A44" s="472"/>
      <c r="B44" s="455" t="s">
        <v>108</v>
      </c>
      <c r="C44" s="139">
        <f t="shared" si="0"/>
        <v>4783.01</v>
      </c>
      <c r="D44" s="139">
        <v>643.61</v>
      </c>
      <c r="E44" s="139">
        <v>1060.32</v>
      </c>
      <c r="F44" s="145">
        <v>2507.4</v>
      </c>
      <c r="G44" s="145">
        <v>0</v>
      </c>
      <c r="H44" s="146">
        <v>66.3</v>
      </c>
      <c r="I44" s="139">
        <v>65.349999999999994</v>
      </c>
      <c r="J44" s="141">
        <v>440.03</v>
      </c>
    </row>
    <row r="45" spans="1:10" ht="14.5">
      <c r="A45" s="472"/>
      <c r="B45" s="455" t="s">
        <v>109</v>
      </c>
      <c r="C45" s="139">
        <f t="shared" si="0"/>
        <v>4610.95</v>
      </c>
      <c r="D45" s="139">
        <v>640.54999999999995</v>
      </c>
      <c r="E45" s="139">
        <v>983.92</v>
      </c>
      <c r="F45" s="139">
        <v>2410.96</v>
      </c>
      <c r="G45" s="145">
        <v>0</v>
      </c>
      <c r="H45" s="146">
        <v>73.23</v>
      </c>
      <c r="I45" s="139">
        <v>65.290000000000006</v>
      </c>
      <c r="J45" s="141">
        <v>437</v>
      </c>
    </row>
    <row r="46" spans="1:10" ht="14.5">
      <c r="A46" s="472"/>
      <c r="B46" s="455" t="s">
        <v>110</v>
      </c>
      <c r="C46" s="139">
        <f t="shared" si="0"/>
        <v>4738.99</v>
      </c>
      <c r="D46" s="139">
        <v>640.08000000000004</v>
      </c>
      <c r="E46" s="139">
        <v>1078.68</v>
      </c>
      <c r="F46" s="139">
        <v>2443.7600000000002</v>
      </c>
      <c r="G46" s="145">
        <v>0</v>
      </c>
      <c r="H46" s="146">
        <v>73.78</v>
      </c>
      <c r="I46" s="139">
        <v>66.19</v>
      </c>
      <c r="J46" s="141">
        <v>436.5</v>
      </c>
    </row>
    <row r="47" spans="1:10" ht="14.5">
      <c r="A47" s="472"/>
      <c r="B47" s="455" t="s">
        <v>117</v>
      </c>
      <c r="C47" s="139">
        <f t="shared" si="0"/>
        <v>4837.8900000000003</v>
      </c>
      <c r="D47" s="139">
        <v>634.87</v>
      </c>
      <c r="E47" s="139">
        <v>1075.8399999999999</v>
      </c>
      <c r="F47" s="139">
        <v>2556.79</v>
      </c>
      <c r="G47" s="145">
        <v>0</v>
      </c>
      <c r="H47" s="146">
        <v>72.83</v>
      </c>
      <c r="I47" s="139">
        <v>66.260000000000005</v>
      </c>
      <c r="J47" s="141">
        <v>431.3</v>
      </c>
    </row>
    <row r="48" spans="1:10" ht="14.5">
      <c r="A48" s="472"/>
      <c r="B48" s="455" t="s">
        <v>112</v>
      </c>
      <c r="C48" s="139">
        <f t="shared" si="0"/>
        <v>4966.7399999999989</v>
      </c>
      <c r="D48" s="139">
        <v>632.72</v>
      </c>
      <c r="E48" s="139">
        <v>1143.4100000000001</v>
      </c>
      <c r="F48" s="139">
        <v>2624.18</v>
      </c>
      <c r="G48" s="145">
        <v>0</v>
      </c>
      <c r="H48" s="146">
        <v>70.88</v>
      </c>
      <c r="I48" s="139">
        <v>66.19</v>
      </c>
      <c r="J48" s="141">
        <v>429.36</v>
      </c>
    </row>
    <row r="49" spans="1:10" ht="14.5">
      <c r="A49" s="472"/>
      <c r="B49" s="455" t="s">
        <v>113</v>
      </c>
      <c r="C49" s="139">
        <f t="shared" si="0"/>
        <v>5048.66</v>
      </c>
      <c r="D49" s="139">
        <v>632.72</v>
      </c>
      <c r="E49" s="139">
        <v>921.6</v>
      </c>
      <c r="F49" s="139">
        <v>2927.99</v>
      </c>
      <c r="G49" s="139">
        <v>0</v>
      </c>
      <c r="H49" s="146">
        <v>70.81</v>
      </c>
      <c r="I49" s="139">
        <v>66.27</v>
      </c>
      <c r="J49" s="141">
        <v>429.27</v>
      </c>
    </row>
    <row r="50" spans="1:10" ht="14.5">
      <c r="A50" s="472"/>
      <c r="B50" s="455" t="s">
        <v>114</v>
      </c>
      <c r="C50" s="139">
        <f t="shared" si="0"/>
        <v>4699.0199999999995</v>
      </c>
      <c r="D50" s="139">
        <v>631.07000000000005</v>
      </c>
      <c r="E50" s="139">
        <v>803.28</v>
      </c>
      <c r="F50" s="146">
        <v>2720.72</v>
      </c>
      <c r="G50" s="139">
        <v>0</v>
      </c>
      <c r="H50" s="146">
        <v>49.82</v>
      </c>
      <c r="I50" s="139">
        <v>66.430000000000007</v>
      </c>
      <c r="J50" s="141">
        <v>427.7</v>
      </c>
    </row>
    <row r="51" spans="1:10" ht="14.5">
      <c r="A51" s="472"/>
      <c r="B51" s="455" t="s">
        <v>115</v>
      </c>
      <c r="C51" s="139">
        <f t="shared" si="0"/>
        <v>4704.4500000000007</v>
      </c>
      <c r="D51" s="139">
        <v>634.28</v>
      </c>
      <c r="E51" s="139">
        <v>828.22</v>
      </c>
      <c r="F51" s="146">
        <v>2693.94</v>
      </c>
      <c r="G51" s="139">
        <v>0</v>
      </c>
      <c r="H51" s="146">
        <v>50.58</v>
      </c>
      <c r="I51" s="139">
        <v>66.64</v>
      </c>
      <c r="J51" s="141">
        <v>430.79</v>
      </c>
    </row>
    <row r="52" spans="1:10" ht="14.5">
      <c r="A52" s="473"/>
      <c r="B52" s="456" t="s">
        <v>116</v>
      </c>
      <c r="C52" s="142">
        <f t="shared" si="0"/>
        <v>5240.59</v>
      </c>
      <c r="D52" s="142">
        <v>647.79999999999995</v>
      </c>
      <c r="E52" s="142">
        <v>918.01</v>
      </c>
      <c r="F52" s="148">
        <v>3124.23</v>
      </c>
      <c r="G52" s="142">
        <v>0</v>
      </c>
      <c r="H52" s="148">
        <v>50.04</v>
      </c>
      <c r="I52" s="142">
        <v>66.95</v>
      </c>
      <c r="J52" s="144">
        <v>433.56</v>
      </c>
    </row>
    <row r="53" spans="1:10" ht="14.5">
      <c r="A53" s="472">
        <v>2015</v>
      </c>
      <c r="B53" s="455" t="s">
        <v>105</v>
      </c>
      <c r="C53" s="139">
        <f t="shared" si="0"/>
        <v>5026.43</v>
      </c>
      <c r="D53" s="139">
        <v>647.79999999999995</v>
      </c>
      <c r="E53" s="139">
        <v>770.52</v>
      </c>
      <c r="F53" s="146">
        <v>3055.07</v>
      </c>
      <c r="G53" s="139">
        <v>0</v>
      </c>
      <c r="H53" s="146">
        <v>52.55</v>
      </c>
      <c r="I53" s="139">
        <v>66.959999999999994</v>
      </c>
      <c r="J53" s="141">
        <v>433.53</v>
      </c>
    </row>
    <row r="54" spans="1:10" ht="14.5">
      <c r="A54" s="472"/>
      <c r="B54" s="455" t="s">
        <v>106</v>
      </c>
      <c r="C54" s="139">
        <f t="shared" si="0"/>
        <v>5034.12</v>
      </c>
      <c r="D54" s="139">
        <v>647.79999999999995</v>
      </c>
      <c r="E54" s="139">
        <v>959.52</v>
      </c>
      <c r="F54" s="139">
        <v>2872.34</v>
      </c>
      <c r="G54" s="139">
        <v>0</v>
      </c>
      <c r="H54" s="146">
        <v>53.69</v>
      </c>
      <c r="I54" s="139">
        <v>67.3</v>
      </c>
      <c r="J54" s="141">
        <v>433.47</v>
      </c>
    </row>
    <row r="55" spans="1:10" ht="14.5">
      <c r="A55" s="472"/>
      <c r="B55" s="455" t="s">
        <v>107</v>
      </c>
      <c r="C55" s="139">
        <f t="shared" si="0"/>
        <v>5444.1399999999994</v>
      </c>
      <c r="D55" s="139">
        <v>647.79999999999995</v>
      </c>
      <c r="E55" s="139">
        <v>1395.11</v>
      </c>
      <c r="F55" s="146">
        <v>2845.84</v>
      </c>
      <c r="G55" s="139">
        <v>0</v>
      </c>
      <c r="H55" s="140">
        <v>54.53</v>
      </c>
      <c r="I55" s="139">
        <v>67.63</v>
      </c>
      <c r="J55" s="141">
        <v>433.23</v>
      </c>
    </row>
    <row r="56" spans="1:10" ht="14.5">
      <c r="A56" s="472"/>
      <c r="B56" s="455" t="s">
        <v>108</v>
      </c>
      <c r="C56" s="139">
        <f t="shared" si="0"/>
        <v>5135.0100000000011</v>
      </c>
      <c r="D56" s="139">
        <v>647.79999999999995</v>
      </c>
      <c r="E56" s="139">
        <v>1079.0899999999999</v>
      </c>
      <c r="F56" s="139">
        <v>2851.87</v>
      </c>
      <c r="G56" s="139">
        <v>0</v>
      </c>
      <c r="H56" s="140">
        <v>55.14</v>
      </c>
      <c r="I56" s="139">
        <v>67.64</v>
      </c>
      <c r="J56" s="141">
        <v>433.47</v>
      </c>
    </row>
    <row r="57" spans="1:10" ht="14.5">
      <c r="A57" s="472"/>
      <c r="B57" s="455" t="s">
        <v>109</v>
      </c>
      <c r="C57" s="139">
        <f t="shared" si="0"/>
        <v>4889.13</v>
      </c>
      <c r="D57" s="139">
        <v>647.79999999999995</v>
      </c>
      <c r="E57" s="139">
        <v>1041.79</v>
      </c>
      <c r="F57" s="139">
        <v>2645.49</v>
      </c>
      <c r="G57" s="139">
        <v>0</v>
      </c>
      <c r="H57" s="146">
        <v>53.03</v>
      </c>
      <c r="I57" s="139">
        <v>67.849999999999994</v>
      </c>
      <c r="J57" s="141">
        <v>433.17</v>
      </c>
    </row>
    <row r="58" spans="1:10" ht="14.5">
      <c r="A58" s="472"/>
      <c r="B58" s="455" t="s">
        <v>110</v>
      </c>
      <c r="C58" s="139">
        <f t="shared" si="0"/>
        <v>5036.92</v>
      </c>
      <c r="D58" s="139">
        <v>647.79999999999995</v>
      </c>
      <c r="E58" s="139">
        <v>1272.7</v>
      </c>
      <c r="F58" s="139">
        <v>2559.6999999999998</v>
      </c>
      <c r="G58" s="139">
        <v>0</v>
      </c>
      <c r="H58" s="140">
        <v>53.06</v>
      </c>
      <c r="I58" s="139">
        <v>67.88</v>
      </c>
      <c r="J58" s="141">
        <v>435.78</v>
      </c>
    </row>
    <row r="59" spans="1:10" ht="14.5">
      <c r="A59" s="472"/>
      <c r="B59" s="455" t="s">
        <v>117</v>
      </c>
      <c r="C59" s="139">
        <f t="shared" si="0"/>
        <v>4841.37</v>
      </c>
      <c r="D59" s="139">
        <v>647.79999999999995</v>
      </c>
      <c r="E59" s="139">
        <v>1246.74</v>
      </c>
      <c r="F59" s="139">
        <v>2394.37</v>
      </c>
      <c r="G59" s="139">
        <v>0</v>
      </c>
      <c r="H59" s="140">
        <v>50.92</v>
      </c>
      <c r="I59" s="139">
        <v>67.94</v>
      </c>
      <c r="J59" s="141">
        <v>433.6</v>
      </c>
    </row>
    <row r="60" spans="1:10" ht="14.5">
      <c r="A60" s="472"/>
      <c r="B60" s="455" t="s">
        <v>112</v>
      </c>
      <c r="C60" s="139">
        <f t="shared" si="0"/>
        <v>4826.29</v>
      </c>
      <c r="D60" s="139">
        <v>647.79999999999995</v>
      </c>
      <c r="E60" s="139">
        <v>1325.57</v>
      </c>
      <c r="F60" s="139">
        <v>2304.63</v>
      </c>
      <c r="G60" s="139">
        <v>0</v>
      </c>
      <c r="H60" s="140">
        <v>48.07</v>
      </c>
      <c r="I60" s="139">
        <v>66.8</v>
      </c>
      <c r="J60" s="141">
        <v>433.42</v>
      </c>
    </row>
    <row r="61" spans="1:10" ht="14.5">
      <c r="A61" s="472"/>
      <c r="B61" s="450" t="s">
        <v>113</v>
      </c>
      <c r="C61" s="139">
        <f t="shared" si="0"/>
        <v>5649.5300000000007</v>
      </c>
      <c r="D61" s="139">
        <v>662.95</v>
      </c>
      <c r="E61" s="139">
        <v>1945.57</v>
      </c>
      <c r="F61" s="139">
        <v>2479.52</v>
      </c>
      <c r="G61" s="139">
        <v>0</v>
      </c>
      <c r="H61" s="140">
        <v>46.43</v>
      </c>
      <c r="I61" s="139">
        <v>66.97</v>
      </c>
      <c r="J61" s="141">
        <v>448.09</v>
      </c>
    </row>
    <row r="62" spans="1:10" ht="14.5">
      <c r="A62" s="472"/>
      <c r="B62" s="455" t="s">
        <v>114</v>
      </c>
      <c r="C62" s="139">
        <f t="shared" si="0"/>
        <v>4982.66</v>
      </c>
      <c r="D62" s="139">
        <v>662.95</v>
      </c>
      <c r="E62" s="139">
        <v>1163.6500000000001</v>
      </c>
      <c r="F62" s="139">
        <v>2589.36</v>
      </c>
      <c r="G62" s="139">
        <v>0</v>
      </c>
      <c r="H62" s="140">
        <v>50.87</v>
      </c>
      <c r="I62" s="139">
        <v>67.349999999999994</v>
      </c>
      <c r="J62" s="141">
        <v>448.48</v>
      </c>
    </row>
    <row r="63" spans="1:10" ht="14.5">
      <c r="A63" s="472"/>
      <c r="B63" s="455" t="s">
        <v>115</v>
      </c>
      <c r="C63" s="139">
        <f t="shared" si="0"/>
        <v>5080.5499999999993</v>
      </c>
      <c r="D63" s="139">
        <v>662.95</v>
      </c>
      <c r="E63" s="139">
        <v>1351.94</v>
      </c>
      <c r="F63" s="139">
        <v>2502.4</v>
      </c>
      <c r="G63" s="139">
        <v>0</v>
      </c>
      <c r="H63" s="140">
        <v>47.69</v>
      </c>
      <c r="I63" s="139">
        <v>67.34</v>
      </c>
      <c r="J63" s="141">
        <v>448.23</v>
      </c>
    </row>
    <row r="64" spans="1:10" ht="14.5">
      <c r="A64" s="473"/>
      <c r="B64" s="456" t="s">
        <v>116</v>
      </c>
      <c r="C64" s="142">
        <f t="shared" si="0"/>
        <v>5168.76</v>
      </c>
      <c r="D64" s="142">
        <v>643.78</v>
      </c>
      <c r="E64" s="142">
        <v>1619.61</v>
      </c>
      <c r="F64" s="142">
        <v>2345.8000000000002</v>
      </c>
      <c r="G64" s="142">
        <v>0</v>
      </c>
      <c r="H64" s="143">
        <v>46.63</v>
      </c>
      <c r="I64" s="142">
        <v>69.790000000000006</v>
      </c>
      <c r="J64" s="144">
        <v>443.15</v>
      </c>
    </row>
    <row r="65" spans="1:10" ht="14.5">
      <c r="A65" s="472">
        <v>2016</v>
      </c>
      <c r="B65" s="455" t="s">
        <v>105</v>
      </c>
      <c r="C65" s="139">
        <f t="shared" si="0"/>
        <v>4838.3400000000011</v>
      </c>
      <c r="D65" s="139">
        <v>646.29999999999995</v>
      </c>
      <c r="E65" s="139">
        <v>1670.44</v>
      </c>
      <c r="F65" s="139">
        <v>1962.6</v>
      </c>
      <c r="G65" s="139">
        <v>0</v>
      </c>
      <c r="H65" s="140">
        <v>44.02</v>
      </c>
      <c r="I65" s="139">
        <v>69.59</v>
      </c>
      <c r="J65" s="141">
        <v>445.39</v>
      </c>
    </row>
    <row r="66" spans="1:10" ht="14.5">
      <c r="A66" s="472"/>
      <c r="B66" s="455" t="s">
        <v>106</v>
      </c>
      <c r="C66" s="139">
        <f t="shared" si="0"/>
        <v>5184.57</v>
      </c>
      <c r="D66" s="139">
        <v>640.82000000000005</v>
      </c>
      <c r="E66" s="139">
        <v>1679.89</v>
      </c>
      <c r="F66" s="146">
        <v>2137.2800000000002</v>
      </c>
      <c r="G66" s="139">
        <v>0</v>
      </c>
      <c r="H66" s="140">
        <v>49.25</v>
      </c>
      <c r="I66" s="139">
        <v>69.459999999999994</v>
      </c>
      <c r="J66" s="141">
        <v>607.87</v>
      </c>
    </row>
    <row r="67" spans="1:10" ht="14.5">
      <c r="A67" s="472"/>
      <c r="B67" s="455" t="s">
        <v>107</v>
      </c>
      <c r="C67" s="139">
        <f t="shared" si="0"/>
        <v>5431.85</v>
      </c>
      <c r="D67" s="139">
        <v>631.70000000000005</v>
      </c>
      <c r="E67" s="139">
        <v>1783.94</v>
      </c>
      <c r="F67" s="146">
        <v>2302.6999999999998</v>
      </c>
      <c r="G67" s="139">
        <v>0</v>
      </c>
      <c r="H67" s="146">
        <v>49.27</v>
      </c>
      <c r="I67" s="139">
        <v>69.44</v>
      </c>
      <c r="J67" s="141">
        <v>594.79999999999995</v>
      </c>
    </row>
    <row r="68" spans="1:10" ht="14.5">
      <c r="A68" s="472"/>
      <c r="B68" s="455" t="s">
        <v>108</v>
      </c>
      <c r="C68" s="139">
        <f t="shared" si="0"/>
        <v>5200.29</v>
      </c>
      <c r="D68" s="139">
        <v>632.15</v>
      </c>
      <c r="E68" s="139">
        <v>1727.33</v>
      </c>
      <c r="F68" s="146">
        <v>2125.9</v>
      </c>
      <c r="G68" s="139">
        <v>0</v>
      </c>
      <c r="H68" s="146">
        <v>49.73</v>
      </c>
      <c r="I68" s="139">
        <v>69.47</v>
      </c>
      <c r="J68" s="141">
        <v>595.71</v>
      </c>
    </row>
    <row r="69" spans="1:10" ht="14.5">
      <c r="A69" s="472"/>
      <c r="B69" s="455" t="s">
        <v>109</v>
      </c>
      <c r="C69" s="139">
        <f t="shared" si="0"/>
        <v>5361.5300000000007</v>
      </c>
      <c r="D69" s="139">
        <v>638.61</v>
      </c>
      <c r="E69" s="139">
        <v>1773.75</v>
      </c>
      <c r="F69" s="146">
        <v>2224.4899999999998</v>
      </c>
      <c r="G69" s="139">
        <v>0</v>
      </c>
      <c r="H69" s="146">
        <v>50.42</v>
      </c>
      <c r="I69" s="139">
        <v>69.92</v>
      </c>
      <c r="J69" s="141">
        <v>604.34</v>
      </c>
    </row>
    <row r="70" spans="1:10" ht="14.5">
      <c r="A70" s="472"/>
      <c r="B70" s="455" t="s">
        <v>110</v>
      </c>
      <c r="C70" s="139">
        <f t="shared" si="0"/>
        <v>5874.7</v>
      </c>
      <c r="D70" s="139">
        <v>628.14</v>
      </c>
      <c r="E70" s="139">
        <v>2057.9899999999998</v>
      </c>
      <c r="F70" s="146">
        <v>2476.67</v>
      </c>
      <c r="G70" s="139">
        <v>0</v>
      </c>
      <c r="H70" s="146">
        <v>52.1</v>
      </c>
      <c r="I70" s="139">
        <v>70.27</v>
      </c>
      <c r="J70" s="141">
        <v>589.53</v>
      </c>
    </row>
    <row r="71" spans="1:10" ht="14.5">
      <c r="A71" s="472"/>
      <c r="B71" s="455" t="s">
        <v>117</v>
      </c>
      <c r="C71" s="139">
        <f t="shared" ref="C71:C81" si="1">SUM(D71:J71)</f>
        <v>5653.1100000000006</v>
      </c>
      <c r="D71" s="139">
        <v>628.14</v>
      </c>
      <c r="E71" s="139">
        <v>1680.84</v>
      </c>
      <c r="F71" s="146">
        <v>2631.15</v>
      </c>
      <c r="G71" s="139">
        <v>0</v>
      </c>
      <c r="H71" s="146">
        <v>52.6</v>
      </c>
      <c r="I71" s="139">
        <v>70.819999999999993</v>
      </c>
      <c r="J71" s="141">
        <v>589.55999999999995</v>
      </c>
    </row>
    <row r="72" spans="1:10" ht="14.5">
      <c r="A72" s="472"/>
      <c r="B72" s="455" t="s">
        <v>112</v>
      </c>
      <c r="C72" s="139">
        <f t="shared" si="1"/>
        <v>5453.3200000000006</v>
      </c>
      <c r="D72" s="139">
        <v>631.05999999999995</v>
      </c>
      <c r="E72" s="139">
        <v>1757.81</v>
      </c>
      <c r="F72" s="146">
        <v>2347.88</v>
      </c>
      <c r="G72" s="139">
        <v>0</v>
      </c>
      <c r="H72" s="146">
        <v>51.39</v>
      </c>
      <c r="I72" s="139">
        <v>71.34</v>
      </c>
      <c r="J72" s="141">
        <v>593.84</v>
      </c>
    </row>
    <row r="73" spans="1:10" ht="14.5">
      <c r="A73" s="472"/>
      <c r="B73" s="455" t="s">
        <v>113</v>
      </c>
      <c r="C73" s="139">
        <f t="shared" si="1"/>
        <v>5384.08</v>
      </c>
      <c r="D73" s="139">
        <v>632.28</v>
      </c>
      <c r="E73" s="139">
        <v>1604.19</v>
      </c>
      <c r="F73" s="146">
        <v>2428.4499999999998</v>
      </c>
      <c r="G73" s="139">
        <v>0</v>
      </c>
      <c r="H73" s="146">
        <v>52.54</v>
      </c>
      <c r="I73" s="139">
        <v>71.34</v>
      </c>
      <c r="J73" s="141">
        <v>595.28</v>
      </c>
    </row>
    <row r="74" spans="1:10" ht="14.5">
      <c r="A74" s="472"/>
      <c r="B74" s="455" t="s">
        <v>114</v>
      </c>
      <c r="C74" s="139">
        <f t="shared" si="1"/>
        <v>5257.52</v>
      </c>
      <c r="D74" s="139">
        <v>633.66999999999996</v>
      </c>
      <c r="E74" s="139">
        <v>1465.9</v>
      </c>
      <c r="F74" s="146">
        <v>2436.09</v>
      </c>
      <c r="G74" s="139">
        <v>0</v>
      </c>
      <c r="H74" s="146">
        <v>52</v>
      </c>
      <c r="I74" s="139">
        <v>72.63</v>
      </c>
      <c r="J74" s="141">
        <v>597.23</v>
      </c>
    </row>
    <row r="75" spans="1:10" ht="14.5">
      <c r="A75" s="472"/>
      <c r="B75" s="455" t="s">
        <v>115</v>
      </c>
      <c r="C75" s="139">
        <f t="shared" si="1"/>
        <v>5106.6600000000008</v>
      </c>
      <c r="D75" s="139">
        <v>637.27</v>
      </c>
      <c r="E75" s="139">
        <v>1280.29</v>
      </c>
      <c r="F75" s="146">
        <v>2463.52</v>
      </c>
      <c r="G75" s="139">
        <v>0</v>
      </c>
      <c r="H75" s="146">
        <v>49.8</v>
      </c>
      <c r="I75" s="139">
        <v>73.180000000000007</v>
      </c>
      <c r="J75" s="141">
        <v>602.6</v>
      </c>
    </row>
    <row r="76" spans="1:10" ht="14.5">
      <c r="A76" s="473"/>
      <c r="B76" s="456" t="s">
        <v>116</v>
      </c>
      <c r="C76" s="142">
        <f t="shared" si="1"/>
        <v>5568.2800000000007</v>
      </c>
      <c r="D76" s="142">
        <v>662.71</v>
      </c>
      <c r="E76" s="142">
        <v>1654.69</v>
      </c>
      <c r="F76" s="148">
        <v>2519.29</v>
      </c>
      <c r="G76" s="142">
        <v>0</v>
      </c>
      <c r="H76" s="148">
        <v>48.13</v>
      </c>
      <c r="I76" s="142">
        <v>75.900000000000006</v>
      </c>
      <c r="J76" s="144">
        <v>607.55999999999995</v>
      </c>
    </row>
    <row r="77" spans="1:10" ht="14.5">
      <c r="A77" s="472">
        <v>2017</v>
      </c>
      <c r="B77" s="455" t="s">
        <v>105</v>
      </c>
      <c r="C77" s="139">
        <f t="shared" si="1"/>
        <v>5092.74</v>
      </c>
      <c r="D77" s="139">
        <v>659.39</v>
      </c>
      <c r="E77" s="139">
        <v>1346.13</v>
      </c>
      <c r="F77" s="146">
        <v>2358.2199999999998</v>
      </c>
      <c r="G77" s="139">
        <v>0</v>
      </c>
      <c r="H77" s="146">
        <v>50.77</v>
      </c>
      <c r="I77" s="139">
        <v>75.900000000000006</v>
      </c>
      <c r="J77" s="141">
        <v>602.33000000000004</v>
      </c>
    </row>
    <row r="78" spans="1:10" ht="14.5">
      <c r="A78" s="472"/>
      <c r="B78" s="455" t="s">
        <v>106</v>
      </c>
      <c r="C78" s="139">
        <f t="shared" si="1"/>
        <v>5109.49</v>
      </c>
      <c r="D78" s="139">
        <v>653.35</v>
      </c>
      <c r="E78" s="139">
        <v>1309.8599999999999</v>
      </c>
      <c r="F78" s="146">
        <v>2425.86</v>
      </c>
      <c r="G78" s="139">
        <v>0</v>
      </c>
      <c r="H78" s="146">
        <v>50.59</v>
      </c>
      <c r="I78" s="139">
        <v>76.180000000000007</v>
      </c>
      <c r="J78" s="141">
        <v>593.65</v>
      </c>
    </row>
    <row r="79" spans="1:10" ht="14.5">
      <c r="A79" s="472"/>
      <c r="B79" s="455" t="s">
        <v>107</v>
      </c>
      <c r="C79" s="139">
        <f t="shared" si="1"/>
        <v>5314.6299999999992</v>
      </c>
      <c r="D79" s="139">
        <v>652.42999999999995</v>
      </c>
      <c r="E79" s="139">
        <v>1572.05</v>
      </c>
      <c r="F79" s="146">
        <v>2370.27</v>
      </c>
      <c r="G79" s="139">
        <v>0</v>
      </c>
      <c r="H79" s="146">
        <v>51.16</v>
      </c>
      <c r="I79" s="139">
        <v>76.19</v>
      </c>
      <c r="J79" s="141">
        <v>592.53</v>
      </c>
    </row>
    <row r="80" spans="1:10" ht="14.5">
      <c r="A80" s="472"/>
      <c r="B80" s="455" t="s">
        <v>108</v>
      </c>
      <c r="C80" s="139">
        <f t="shared" si="1"/>
        <v>5015.0699999999988</v>
      </c>
      <c r="D80" s="139">
        <v>656.3</v>
      </c>
      <c r="E80" s="139">
        <v>1283.6400000000001</v>
      </c>
      <c r="F80" s="146">
        <v>2349.87</v>
      </c>
      <c r="G80" s="139">
        <v>0</v>
      </c>
      <c r="H80" s="146">
        <v>50.91</v>
      </c>
      <c r="I80" s="139">
        <v>76.19</v>
      </c>
      <c r="J80" s="141">
        <v>598.16</v>
      </c>
    </row>
    <row r="81" spans="1:10" ht="14.5">
      <c r="A81" s="472"/>
      <c r="B81" s="455" t="s">
        <v>109</v>
      </c>
      <c r="C81" s="139">
        <f t="shared" si="1"/>
        <v>5016.8700000000008</v>
      </c>
      <c r="D81" s="139">
        <v>656.57</v>
      </c>
      <c r="E81" s="139">
        <v>1172.5999999999999</v>
      </c>
      <c r="F81" s="146">
        <v>2464.1799999999998</v>
      </c>
      <c r="G81" s="139">
        <v>0</v>
      </c>
      <c r="H81" s="146">
        <v>48.92</v>
      </c>
      <c r="I81" s="139">
        <v>76.180000000000007</v>
      </c>
      <c r="J81" s="141">
        <v>598.41999999999996</v>
      </c>
    </row>
    <row r="82" spans="1:10" ht="14.5">
      <c r="A82" s="472"/>
      <c r="B82" s="455" t="s">
        <v>110</v>
      </c>
      <c r="C82" s="139">
        <f t="shared" ref="C82:C116" si="2">SUM(D82:J82)</f>
        <v>4823.3899999999994</v>
      </c>
      <c r="D82" s="139">
        <v>657.59</v>
      </c>
      <c r="E82" s="139">
        <v>1184.71</v>
      </c>
      <c r="F82" s="146">
        <v>2251.0700000000002</v>
      </c>
      <c r="G82" s="139">
        <v>0</v>
      </c>
      <c r="H82" s="146">
        <v>51.96</v>
      </c>
      <c r="I82" s="139">
        <v>78.290000000000006</v>
      </c>
      <c r="J82" s="141">
        <v>599.77</v>
      </c>
    </row>
    <row r="83" spans="1:10" ht="14.5">
      <c r="A83" s="472"/>
      <c r="B83" s="455" t="s">
        <v>117</v>
      </c>
      <c r="C83" s="139">
        <f t="shared" si="2"/>
        <v>4714.7700000000004</v>
      </c>
      <c r="D83" s="139">
        <v>655.73</v>
      </c>
      <c r="E83" s="139">
        <v>1020.5</v>
      </c>
      <c r="F83" s="146">
        <v>2311.88</v>
      </c>
      <c r="G83" s="139">
        <v>0</v>
      </c>
      <c r="H83" s="146">
        <v>52.63</v>
      </c>
      <c r="I83" s="139">
        <v>76.22</v>
      </c>
      <c r="J83" s="141">
        <v>597.80999999999995</v>
      </c>
    </row>
    <row r="84" spans="1:10" ht="14.5">
      <c r="A84" s="472"/>
      <c r="B84" s="455" t="s">
        <v>112</v>
      </c>
      <c r="C84" s="139">
        <f t="shared" si="2"/>
        <v>4651.5600000000004</v>
      </c>
      <c r="D84" s="139">
        <v>657.91</v>
      </c>
      <c r="E84" s="139">
        <v>937.91</v>
      </c>
      <c r="F84" s="146">
        <v>2315.44</v>
      </c>
      <c r="G84" s="139">
        <v>0</v>
      </c>
      <c r="H84" s="146">
        <v>53.45</v>
      </c>
      <c r="I84" s="139">
        <v>76.48</v>
      </c>
      <c r="J84" s="141">
        <v>610.37</v>
      </c>
    </row>
    <row r="85" spans="1:10" ht="14.5">
      <c r="A85" s="472"/>
      <c r="B85" s="455" t="s">
        <v>113</v>
      </c>
      <c r="C85" s="139">
        <f t="shared" si="2"/>
        <v>4926.7100000000009</v>
      </c>
      <c r="D85" s="139">
        <v>657.62</v>
      </c>
      <c r="E85" s="139">
        <v>1230.1500000000001</v>
      </c>
      <c r="F85" s="146">
        <v>2305.16</v>
      </c>
      <c r="G85" s="139">
        <v>0</v>
      </c>
      <c r="H85" s="146">
        <v>53.14</v>
      </c>
      <c r="I85" s="139">
        <v>76.260000000000005</v>
      </c>
      <c r="J85" s="141">
        <v>604.38</v>
      </c>
    </row>
    <row r="86" spans="1:10" ht="14.5">
      <c r="A86" s="472"/>
      <c r="B86" s="455" t="s">
        <v>114</v>
      </c>
      <c r="C86" s="139">
        <f t="shared" si="2"/>
        <v>4833.5599999999995</v>
      </c>
      <c r="D86" s="139">
        <v>655.73</v>
      </c>
      <c r="E86" s="139">
        <v>872.26</v>
      </c>
      <c r="F86" s="146">
        <v>2569.88</v>
      </c>
      <c r="G86" s="139">
        <v>0</v>
      </c>
      <c r="H86" s="146">
        <v>54.49</v>
      </c>
      <c r="I86" s="139">
        <v>77.900000000000006</v>
      </c>
      <c r="J86" s="141">
        <v>603.29999999999995</v>
      </c>
    </row>
    <row r="87" spans="1:10" ht="14.5">
      <c r="A87" s="472"/>
      <c r="B87" s="455" t="s">
        <v>115</v>
      </c>
      <c r="C87" s="139">
        <f t="shared" si="2"/>
        <v>4873.9599999999991</v>
      </c>
      <c r="D87" s="139">
        <v>655.04999999999995</v>
      </c>
      <c r="E87" s="139">
        <v>843.62</v>
      </c>
      <c r="F87" s="146">
        <v>2639.89</v>
      </c>
      <c r="G87" s="139">
        <v>0</v>
      </c>
      <c r="H87" s="146">
        <v>54.03</v>
      </c>
      <c r="I87" s="139">
        <v>77.56</v>
      </c>
      <c r="J87" s="141">
        <v>603.80999999999995</v>
      </c>
    </row>
    <row r="88" spans="1:10" ht="14.5">
      <c r="A88" s="473"/>
      <c r="B88" s="452" t="s">
        <v>116</v>
      </c>
      <c r="C88" s="142">
        <f t="shared" si="2"/>
        <v>5102.66</v>
      </c>
      <c r="D88" s="142">
        <v>664.39</v>
      </c>
      <c r="E88" s="142">
        <v>1294.8599999999999</v>
      </c>
      <c r="F88" s="148">
        <v>2412.33</v>
      </c>
      <c r="G88" s="142">
        <v>0</v>
      </c>
      <c r="H88" s="148">
        <v>53.52</v>
      </c>
      <c r="I88" s="142">
        <v>81.25</v>
      </c>
      <c r="J88" s="144">
        <v>596.30999999999995</v>
      </c>
    </row>
    <row r="89" spans="1:10" ht="14.5">
      <c r="A89" s="472">
        <v>2018</v>
      </c>
      <c r="B89" s="455" t="s">
        <v>105</v>
      </c>
      <c r="C89" s="139">
        <f t="shared" si="2"/>
        <v>4676.62</v>
      </c>
      <c r="D89" s="139">
        <v>670.47</v>
      </c>
      <c r="E89" s="139">
        <v>897.43</v>
      </c>
      <c r="F89" s="146">
        <v>2375.08</v>
      </c>
      <c r="G89" s="139">
        <v>0</v>
      </c>
      <c r="H89" s="146">
        <v>55.14</v>
      </c>
      <c r="I89" s="139">
        <v>81.73</v>
      </c>
      <c r="J89" s="141">
        <v>596.77</v>
      </c>
    </row>
    <row r="90" spans="1:10" ht="14.5">
      <c r="A90" s="472"/>
      <c r="B90" s="455" t="s">
        <v>106</v>
      </c>
      <c r="C90" s="139">
        <f t="shared" si="2"/>
        <v>4829.1500000000005</v>
      </c>
      <c r="D90" s="139">
        <v>670.08</v>
      </c>
      <c r="E90" s="139">
        <v>1165.51</v>
      </c>
      <c r="F90" s="146">
        <v>2257.79</v>
      </c>
      <c r="G90" s="139">
        <v>0</v>
      </c>
      <c r="H90" s="146">
        <v>55.02</v>
      </c>
      <c r="I90" s="139">
        <v>81.66</v>
      </c>
      <c r="J90" s="141">
        <v>599.09</v>
      </c>
    </row>
    <row r="91" spans="1:10" ht="14.5">
      <c r="A91" s="472"/>
      <c r="B91" s="455" t="s">
        <v>107</v>
      </c>
      <c r="C91" s="139">
        <f t="shared" si="2"/>
        <v>5352.2400000000007</v>
      </c>
      <c r="D91" s="139">
        <v>666.8</v>
      </c>
      <c r="E91" s="139">
        <v>1668.39</v>
      </c>
      <c r="F91" s="146">
        <v>2285.33</v>
      </c>
      <c r="G91" s="139">
        <v>0</v>
      </c>
      <c r="H91" s="146">
        <v>53.97</v>
      </c>
      <c r="I91" s="139">
        <v>82.09</v>
      </c>
      <c r="J91" s="141">
        <v>595.66</v>
      </c>
    </row>
    <row r="92" spans="1:10" ht="14.5">
      <c r="A92" s="472"/>
      <c r="B92" s="455" t="s">
        <v>108</v>
      </c>
      <c r="C92" s="149">
        <f t="shared" si="2"/>
        <v>4673.75</v>
      </c>
      <c r="D92" s="150">
        <v>666.53</v>
      </c>
      <c r="E92" s="150">
        <v>1044.54</v>
      </c>
      <c r="F92" s="149">
        <v>2231.1</v>
      </c>
      <c r="G92" s="150">
        <v>0</v>
      </c>
      <c r="H92" s="149">
        <v>54.19</v>
      </c>
      <c r="I92" s="150">
        <v>82.15</v>
      </c>
      <c r="J92" s="151">
        <v>595.24</v>
      </c>
    </row>
    <row r="93" spans="1:10" ht="14.5">
      <c r="A93" s="472"/>
      <c r="B93" s="455" t="s">
        <v>109</v>
      </c>
      <c r="C93" s="149">
        <f t="shared" si="2"/>
        <v>4750.0499999999993</v>
      </c>
      <c r="D93" s="150">
        <v>666</v>
      </c>
      <c r="E93" s="150">
        <v>1169.43</v>
      </c>
      <c r="F93" s="150">
        <v>2094.1</v>
      </c>
      <c r="G93" s="150">
        <v>0</v>
      </c>
      <c r="H93" s="149">
        <v>145.26</v>
      </c>
      <c r="I93" s="150">
        <v>82.03</v>
      </c>
      <c r="J93" s="151">
        <v>593.23</v>
      </c>
    </row>
    <row r="94" spans="1:10" ht="14.5">
      <c r="A94" s="472"/>
      <c r="B94" s="455" t="s">
        <v>110</v>
      </c>
      <c r="C94" s="139">
        <f t="shared" si="2"/>
        <v>5148.9599999999991</v>
      </c>
      <c r="D94" s="139">
        <v>661.61</v>
      </c>
      <c r="E94" s="139">
        <v>1537.82</v>
      </c>
      <c r="F94" s="139">
        <v>2130.38</v>
      </c>
      <c r="G94" s="139">
        <v>0</v>
      </c>
      <c r="H94" s="140">
        <v>141.15</v>
      </c>
      <c r="I94" s="139">
        <v>82.33</v>
      </c>
      <c r="J94" s="141">
        <v>595.66999999999996</v>
      </c>
    </row>
    <row r="95" spans="1:10" ht="14.5">
      <c r="A95" s="472"/>
      <c r="B95" s="455" t="s">
        <v>117</v>
      </c>
      <c r="C95" s="139">
        <f t="shared" si="2"/>
        <v>4707.68</v>
      </c>
      <c r="D95" s="139">
        <v>657.57</v>
      </c>
      <c r="E95" s="139">
        <v>1140.82</v>
      </c>
      <c r="F95" s="139">
        <v>2083.4299999999998</v>
      </c>
      <c r="G95" s="139">
        <v>0</v>
      </c>
      <c r="H95" s="140">
        <v>144.36000000000001</v>
      </c>
      <c r="I95" s="139">
        <v>82.15</v>
      </c>
      <c r="J95" s="141">
        <v>599.35</v>
      </c>
    </row>
    <row r="96" spans="1:10" ht="14.5">
      <c r="A96" s="472"/>
      <c r="B96" s="455" t="s">
        <v>112</v>
      </c>
      <c r="C96" s="139">
        <f t="shared" si="2"/>
        <v>4714.7000000000007</v>
      </c>
      <c r="D96" s="139">
        <v>656.7</v>
      </c>
      <c r="E96" s="139">
        <v>1100.74</v>
      </c>
      <c r="F96" s="139">
        <v>2129.61</v>
      </c>
      <c r="G96" s="139">
        <v>0</v>
      </c>
      <c r="H96" s="140">
        <v>145.66999999999999</v>
      </c>
      <c r="I96" s="139">
        <v>82.5</v>
      </c>
      <c r="J96" s="141">
        <v>599.48</v>
      </c>
    </row>
    <row r="97" spans="1:10" ht="14.5">
      <c r="A97" s="472"/>
      <c r="B97" s="455" t="s">
        <v>113</v>
      </c>
      <c r="C97" s="139">
        <f t="shared" si="2"/>
        <v>4943.79</v>
      </c>
      <c r="D97" s="139">
        <v>650.79999999999995</v>
      </c>
      <c r="E97" s="139">
        <v>1299.23</v>
      </c>
      <c r="F97" s="139">
        <v>2129.7399999999998</v>
      </c>
      <c r="G97" s="139">
        <v>0</v>
      </c>
      <c r="H97" s="140">
        <v>183.43</v>
      </c>
      <c r="I97" s="139">
        <v>83.96</v>
      </c>
      <c r="J97" s="141">
        <v>596.63</v>
      </c>
    </row>
    <row r="98" spans="1:10" ht="14.5">
      <c r="A98" s="472"/>
      <c r="B98" s="455" t="s">
        <v>114</v>
      </c>
      <c r="C98" s="146">
        <f t="shared" si="2"/>
        <v>4832.37</v>
      </c>
      <c r="D98" s="139">
        <v>661.52</v>
      </c>
      <c r="E98" s="139">
        <v>1060.33</v>
      </c>
      <c r="F98" s="139">
        <v>2255.41</v>
      </c>
      <c r="G98" s="139">
        <v>0</v>
      </c>
      <c r="H98" s="140">
        <v>172.11</v>
      </c>
      <c r="I98" s="139">
        <v>83.96</v>
      </c>
      <c r="J98" s="141">
        <v>599.04</v>
      </c>
    </row>
    <row r="99" spans="1:10" ht="14.5">
      <c r="A99" s="472"/>
      <c r="B99" s="455" t="s">
        <v>115</v>
      </c>
      <c r="C99" s="146">
        <f t="shared" si="2"/>
        <v>4794.7899999999991</v>
      </c>
      <c r="D99" s="139">
        <v>655.36</v>
      </c>
      <c r="E99" s="139">
        <v>1175.81</v>
      </c>
      <c r="F99" s="139">
        <v>2114.61</v>
      </c>
      <c r="G99" s="139">
        <v>0</v>
      </c>
      <c r="H99" s="140">
        <v>172.17</v>
      </c>
      <c r="I99" s="139">
        <v>83.73</v>
      </c>
      <c r="J99" s="141">
        <v>593.11</v>
      </c>
    </row>
    <row r="100" spans="1:10" ht="14.5">
      <c r="A100" s="473"/>
      <c r="B100" s="456" t="s">
        <v>116</v>
      </c>
      <c r="C100" s="148">
        <f t="shared" si="2"/>
        <v>5114.8899999999994</v>
      </c>
      <c r="D100" s="142">
        <v>667.63</v>
      </c>
      <c r="E100" s="142">
        <v>1472.28</v>
      </c>
      <c r="F100" s="142">
        <v>2133.64</v>
      </c>
      <c r="G100" s="142">
        <v>0</v>
      </c>
      <c r="H100" s="143">
        <v>160.21</v>
      </c>
      <c r="I100" s="142">
        <v>85.12</v>
      </c>
      <c r="J100" s="144">
        <v>596.01</v>
      </c>
    </row>
    <row r="101" spans="1:10" ht="14.5">
      <c r="A101" s="472">
        <v>2019</v>
      </c>
      <c r="B101" s="455" t="s">
        <v>105</v>
      </c>
      <c r="C101" s="146">
        <f t="shared" si="2"/>
        <v>4843.21</v>
      </c>
      <c r="D101" s="139">
        <v>669.15</v>
      </c>
      <c r="E101" s="139">
        <v>1419.49</v>
      </c>
      <c r="F101" s="139">
        <v>1911.03</v>
      </c>
      <c r="G101" s="139">
        <v>0</v>
      </c>
      <c r="H101" s="140">
        <v>168.8</v>
      </c>
      <c r="I101" s="139">
        <v>84.87</v>
      </c>
      <c r="J101" s="141">
        <v>589.87</v>
      </c>
    </row>
    <row r="102" spans="1:10" ht="14.5">
      <c r="A102" s="472"/>
      <c r="B102" s="455" t="s">
        <v>106</v>
      </c>
      <c r="C102" s="146">
        <f t="shared" si="2"/>
        <v>4955.8500000000004</v>
      </c>
      <c r="D102" s="139">
        <v>670.64</v>
      </c>
      <c r="E102" s="139">
        <v>1563</v>
      </c>
      <c r="F102" s="139">
        <v>1875.03</v>
      </c>
      <c r="G102" s="139">
        <v>0</v>
      </c>
      <c r="H102" s="140">
        <v>172.84</v>
      </c>
      <c r="I102" s="139">
        <v>84.71</v>
      </c>
      <c r="J102" s="141">
        <v>589.63</v>
      </c>
    </row>
    <row r="103" spans="1:10" ht="14.5">
      <c r="A103" s="472"/>
      <c r="B103" s="455" t="s">
        <v>107</v>
      </c>
      <c r="C103" s="146">
        <f t="shared" si="2"/>
        <v>5636.86</v>
      </c>
      <c r="D103" s="139">
        <v>665.9</v>
      </c>
      <c r="E103" s="139">
        <v>2291.4899999999998</v>
      </c>
      <c r="F103" s="139">
        <v>1818.44</v>
      </c>
      <c r="G103" s="139">
        <v>0</v>
      </c>
      <c r="H103" s="140">
        <v>187.9</v>
      </c>
      <c r="I103" s="139">
        <v>84.49</v>
      </c>
      <c r="J103" s="141">
        <v>588.64</v>
      </c>
    </row>
    <row r="104" spans="1:10" ht="14.5">
      <c r="A104" s="472"/>
      <c r="B104" s="455" t="s">
        <v>108</v>
      </c>
      <c r="C104" s="146">
        <f t="shared" si="2"/>
        <v>5063.5</v>
      </c>
      <c r="D104" s="139">
        <v>665.66</v>
      </c>
      <c r="E104" s="139">
        <v>1395.54</v>
      </c>
      <c r="F104" s="139">
        <v>2129.84</v>
      </c>
      <c r="G104" s="139">
        <v>0</v>
      </c>
      <c r="H104" s="140">
        <v>198</v>
      </c>
      <c r="I104" s="139">
        <v>84.29</v>
      </c>
      <c r="J104" s="141">
        <v>590.16999999999996</v>
      </c>
    </row>
    <row r="105" spans="1:10" ht="14.5">
      <c r="A105" s="472"/>
      <c r="B105" s="455" t="s">
        <v>109</v>
      </c>
      <c r="C105" s="146">
        <f t="shared" si="2"/>
        <v>5076.96</v>
      </c>
      <c r="D105" s="139">
        <v>674.02</v>
      </c>
      <c r="E105" s="139">
        <v>1228.77</v>
      </c>
      <c r="F105" s="139">
        <v>2307.63</v>
      </c>
      <c r="G105" s="139">
        <v>0</v>
      </c>
      <c r="H105" s="140">
        <v>187.97</v>
      </c>
      <c r="I105" s="139">
        <v>84.66</v>
      </c>
      <c r="J105" s="141">
        <v>593.91</v>
      </c>
    </row>
    <row r="106" spans="1:10" ht="14.5">
      <c r="A106" s="472"/>
      <c r="B106" s="455" t="s">
        <v>110</v>
      </c>
      <c r="C106" s="146">
        <f t="shared" si="2"/>
        <v>5285.8600000000006</v>
      </c>
      <c r="D106" s="139">
        <v>688.1</v>
      </c>
      <c r="E106" s="139">
        <v>1494.19</v>
      </c>
      <c r="F106" s="139">
        <v>2234.54</v>
      </c>
      <c r="G106" s="139">
        <v>0</v>
      </c>
      <c r="H106" s="140">
        <v>195.81</v>
      </c>
      <c r="I106" s="139">
        <v>84.52</v>
      </c>
      <c r="J106" s="141">
        <v>588.70000000000005</v>
      </c>
    </row>
    <row r="107" spans="1:10" ht="14.5">
      <c r="A107" s="472"/>
      <c r="B107" s="455" t="s">
        <v>117</v>
      </c>
      <c r="C107" s="145">
        <f t="shared" si="2"/>
        <v>4976.7699999999995</v>
      </c>
      <c r="D107" s="139">
        <v>695.21</v>
      </c>
      <c r="E107" s="139">
        <v>1196.67</v>
      </c>
      <c r="F107" s="139">
        <v>2222.02</v>
      </c>
      <c r="G107" s="139">
        <v>0</v>
      </c>
      <c r="H107" s="140">
        <v>187.71</v>
      </c>
      <c r="I107" s="139">
        <v>85.19</v>
      </c>
      <c r="J107" s="141">
        <v>589.97</v>
      </c>
    </row>
    <row r="108" spans="1:10" ht="14.5">
      <c r="A108" s="472"/>
      <c r="B108" s="455" t="s">
        <v>112</v>
      </c>
      <c r="C108" s="145">
        <f t="shared" si="2"/>
        <v>4910.18</v>
      </c>
      <c r="D108" s="139">
        <v>724.69</v>
      </c>
      <c r="E108" s="139">
        <v>1175.94</v>
      </c>
      <c r="F108" s="139">
        <v>2146.16</v>
      </c>
      <c r="G108" s="139">
        <v>0</v>
      </c>
      <c r="H108" s="140">
        <v>183.97</v>
      </c>
      <c r="I108" s="139">
        <v>85.41</v>
      </c>
      <c r="J108" s="141">
        <v>594.01</v>
      </c>
    </row>
    <row r="109" spans="1:10" ht="14.5">
      <c r="A109" s="472"/>
      <c r="B109" s="455" t="s">
        <v>113</v>
      </c>
      <c r="C109" s="145">
        <f t="shared" si="2"/>
        <v>5098.8100000000004</v>
      </c>
      <c r="D109" s="139">
        <v>714.1</v>
      </c>
      <c r="E109" s="139">
        <v>1339.81</v>
      </c>
      <c r="F109" s="139">
        <v>2174.34</v>
      </c>
      <c r="G109" s="139">
        <v>0</v>
      </c>
      <c r="H109" s="140">
        <v>186.54</v>
      </c>
      <c r="I109" s="139">
        <v>91.18</v>
      </c>
      <c r="J109" s="141">
        <v>592.84</v>
      </c>
    </row>
    <row r="110" spans="1:10" ht="14.5">
      <c r="A110" s="472"/>
      <c r="B110" s="450" t="s">
        <v>114</v>
      </c>
      <c r="C110" s="139">
        <f t="shared" si="2"/>
        <v>4915.7300000000005</v>
      </c>
      <c r="D110" s="139">
        <v>713.03</v>
      </c>
      <c r="E110" s="139">
        <v>1175.55</v>
      </c>
      <c r="F110" s="139">
        <v>2149</v>
      </c>
      <c r="G110" s="139">
        <v>0</v>
      </c>
      <c r="H110" s="140">
        <v>195.81</v>
      </c>
      <c r="I110" s="139">
        <v>91.54</v>
      </c>
      <c r="J110" s="141">
        <v>590.79999999999995</v>
      </c>
    </row>
    <row r="111" spans="1:10" ht="14.5">
      <c r="A111" s="472"/>
      <c r="B111" s="455" t="s">
        <v>115</v>
      </c>
      <c r="C111" s="146">
        <f t="shared" si="2"/>
        <v>4857.08</v>
      </c>
      <c r="D111" s="139">
        <v>704.12</v>
      </c>
      <c r="E111" s="139">
        <v>1180.1600000000001</v>
      </c>
      <c r="F111" s="139">
        <v>2089.7600000000002</v>
      </c>
      <c r="G111" s="139">
        <v>0</v>
      </c>
      <c r="H111" s="140">
        <v>201.18</v>
      </c>
      <c r="I111" s="139">
        <v>91.67</v>
      </c>
      <c r="J111" s="141">
        <v>590.19000000000005</v>
      </c>
    </row>
    <row r="112" spans="1:10" ht="14.5">
      <c r="A112" s="473"/>
      <c r="B112" s="456" t="s">
        <v>116</v>
      </c>
      <c r="C112" s="148">
        <f t="shared" si="2"/>
        <v>6133.76</v>
      </c>
      <c r="D112" s="142">
        <v>703.3</v>
      </c>
      <c r="E112" s="142">
        <v>2336.4299999999998</v>
      </c>
      <c r="F112" s="148">
        <v>2220.13</v>
      </c>
      <c r="G112" s="142">
        <v>0</v>
      </c>
      <c r="H112" s="143">
        <v>198.42</v>
      </c>
      <c r="I112" s="142">
        <v>90.56</v>
      </c>
      <c r="J112" s="144">
        <v>584.91999999999996</v>
      </c>
    </row>
    <row r="113" spans="1:10" ht="14.5">
      <c r="A113" s="471">
        <v>2020</v>
      </c>
      <c r="B113" s="453" t="s">
        <v>105</v>
      </c>
      <c r="C113" s="136">
        <f t="shared" si="2"/>
        <v>4803.6799689800009</v>
      </c>
      <c r="D113" s="136">
        <v>723.51581686999998</v>
      </c>
      <c r="E113" s="136">
        <v>1446.8133940700002</v>
      </c>
      <c r="F113" s="136">
        <v>1761.2619701600001</v>
      </c>
      <c r="G113" s="136">
        <v>0</v>
      </c>
      <c r="H113" s="136">
        <v>196.40732527999998</v>
      </c>
      <c r="I113" s="136">
        <v>89.005187119999988</v>
      </c>
      <c r="J113" s="152">
        <v>586.67627547999984</v>
      </c>
    </row>
    <row r="114" spans="1:10" ht="14.5">
      <c r="A114" s="472"/>
      <c r="B114" s="450" t="s">
        <v>106</v>
      </c>
      <c r="C114" s="139">
        <f t="shared" si="2"/>
        <v>4815.3147441599995</v>
      </c>
      <c r="D114" s="139">
        <v>745.47466927000005</v>
      </c>
      <c r="E114" s="139">
        <v>1507.6734480399996</v>
      </c>
      <c r="F114" s="139">
        <v>1686.24566654</v>
      </c>
      <c r="G114" s="139">
        <v>0</v>
      </c>
      <c r="H114" s="139">
        <v>185.21452824999997</v>
      </c>
      <c r="I114" s="139">
        <v>90.82374974999999</v>
      </c>
      <c r="J114" s="153">
        <v>599.88268230999995</v>
      </c>
    </row>
    <row r="115" spans="1:10" ht="14.5">
      <c r="A115" s="472"/>
      <c r="B115" s="450" t="s">
        <v>107</v>
      </c>
      <c r="C115" s="139">
        <f t="shared" si="2"/>
        <v>5505.7424074500004</v>
      </c>
      <c r="D115" s="139">
        <v>757.48879553000006</v>
      </c>
      <c r="E115" s="139">
        <v>2267.1874137200002</v>
      </c>
      <c r="F115" s="139">
        <v>1621.5827617400003</v>
      </c>
      <c r="G115" s="139">
        <v>0</v>
      </c>
      <c r="H115" s="139">
        <v>160.74711914999997</v>
      </c>
      <c r="I115" s="139">
        <v>91.347585260000002</v>
      </c>
      <c r="J115" s="153">
        <v>607.38873204999982</v>
      </c>
    </row>
    <row r="116" spans="1:10" ht="14.5">
      <c r="A116" s="472"/>
      <c r="B116" s="450" t="s">
        <v>108</v>
      </c>
      <c r="C116" s="139">
        <f t="shared" si="2"/>
        <v>4952.6390576100002</v>
      </c>
      <c r="D116" s="139">
        <v>769.33455696999999</v>
      </c>
      <c r="E116" s="139">
        <v>1885.79007572</v>
      </c>
      <c r="F116" s="139">
        <v>1427.66101729</v>
      </c>
      <c r="G116" s="139">
        <v>0</v>
      </c>
      <c r="H116" s="139">
        <v>175.74562044999999</v>
      </c>
      <c r="I116" s="139">
        <v>91.763987139999998</v>
      </c>
      <c r="J116" s="153">
        <v>602.34380003999991</v>
      </c>
    </row>
    <row r="117" spans="1:10" ht="14.5">
      <c r="A117" s="472"/>
      <c r="B117" s="450" t="s">
        <v>109</v>
      </c>
      <c r="C117" s="139">
        <f>SUM(D117:J117)</f>
        <v>6425.2330586200005</v>
      </c>
      <c r="D117" s="139">
        <v>778.94104644000004</v>
      </c>
      <c r="E117" s="139">
        <v>3127.1036856300002</v>
      </c>
      <c r="F117" s="139">
        <v>1643.2847907700007</v>
      </c>
      <c r="G117" s="139">
        <v>0</v>
      </c>
      <c r="H117" s="139">
        <v>178.44952959999998</v>
      </c>
      <c r="I117" s="139">
        <v>91.348066289999991</v>
      </c>
      <c r="J117" s="153">
        <v>606.10593988999995</v>
      </c>
    </row>
    <row r="118" spans="1:10" ht="14.5">
      <c r="A118" s="472"/>
      <c r="B118" s="450" t="s">
        <v>110</v>
      </c>
      <c r="C118" s="139">
        <f>SUM(D118:J118)</f>
        <v>6029.3618071500005</v>
      </c>
      <c r="D118" s="139">
        <v>777.15067922000003</v>
      </c>
      <c r="E118" s="139">
        <v>2688.7572777</v>
      </c>
      <c r="F118" s="139">
        <v>1684.6188936400006</v>
      </c>
      <c r="G118" s="139">
        <v>0</v>
      </c>
      <c r="H118" s="139">
        <v>187.50528994999996</v>
      </c>
      <c r="I118" s="139">
        <v>92.12236154</v>
      </c>
      <c r="J118" s="153">
        <v>599.20730509999976</v>
      </c>
    </row>
    <row r="119" spans="1:10" ht="14.5">
      <c r="A119" s="472"/>
      <c r="B119" s="455" t="s">
        <v>117</v>
      </c>
      <c r="C119" s="139">
        <f t="shared" ref="C119:C133" si="3">SUM(D119:J119)</f>
        <v>5122.2493378099998</v>
      </c>
      <c r="D119" s="139">
        <v>814.42090334</v>
      </c>
      <c r="E119" s="139">
        <v>1411.2426928499999</v>
      </c>
      <c r="F119" s="139">
        <v>2002.4018993100001</v>
      </c>
      <c r="G119" s="139">
        <v>0</v>
      </c>
      <c r="H119" s="139">
        <v>197.05692620999997</v>
      </c>
      <c r="I119" s="139">
        <v>107.98476512000002</v>
      </c>
      <c r="J119" s="153">
        <v>589.14215098</v>
      </c>
    </row>
    <row r="120" spans="1:10" ht="14.5">
      <c r="A120" s="472"/>
      <c r="B120" s="455" t="s">
        <v>112</v>
      </c>
      <c r="C120" s="139">
        <f t="shared" si="3"/>
        <v>5234.9096674499997</v>
      </c>
      <c r="D120" s="139">
        <v>807.78504791</v>
      </c>
      <c r="E120" s="139">
        <v>1806.8234728800005</v>
      </c>
      <c r="F120" s="139">
        <v>1719.75379557</v>
      </c>
      <c r="G120" s="139">
        <v>0</v>
      </c>
      <c r="H120" s="139">
        <v>202.42735424000003</v>
      </c>
      <c r="I120" s="139">
        <v>95.291301910000001</v>
      </c>
      <c r="J120" s="153">
        <v>602.82869493999999</v>
      </c>
    </row>
    <row r="121" spans="1:10" ht="14.5">
      <c r="A121" s="472"/>
      <c r="B121" s="455" t="s">
        <v>113</v>
      </c>
      <c r="C121" s="139">
        <f t="shared" si="3"/>
        <v>5241.7460421400001</v>
      </c>
      <c r="D121" s="139">
        <v>795.42521354999997</v>
      </c>
      <c r="E121" s="139">
        <v>1802.6147458400003</v>
      </c>
      <c r="F121" s="139">
        <v>1797.7126240699993</v>
      </c>
      <c r="G121" s="139">
        <v>0</v>
      </c>
      <c r="H121" s="139">
        <v>146.99541751000001</v>
      </c>
      <c r="I121" s="139">
        <v>96.736642119999999</v>
      </c>
      <c r="J121" s="153">
        <v>602.26139905000002</v>
      </c>
    </row>
    <row r="122" spans="1:10" ht="14.5">
      <c r="A122" s="472"/>
      <c r="B122" s="455" t="s">
        <v>114</v>
      </c>
      <c r="C122" s="146">
        <f t="shared" si="3"/>
        <v>5045.7977505100007</v>
      </c>
      <c r="D122" s="139">
        <v>794.05066485999987</v>
      </c>
      <c r="E122" s="139">
        <v>1593.0511710600003</v>
      </c>
      <c r="F122" s="139">
        <v>1800.3630312099995</v>
      </c>
      <c r="G122" s="139">
        <v>0</v>
      </c>
      <c r="H122" s="139">
        <v>159.73330632</v>
      </c>
      <c r="I122" s="139">
        <v>97.094112380000013</v>
      </c>
      <c r="J122" s="153">
        <v>601.50546467999993</v>
      </c>
    </row>
    <row r="123" spans="1:10" ht="14.5">
      <c r="A123" s="472"/>
      <c r="B123" s="455" t="s">
        <v>115</v>
      </c>
      <c r="C123" s="146">
        <f t="shared" si="3"/>
        <v>5464.4040000000005</v>
      </c>
      <c r="D123" s="139">
        <v>760.90200000000004</v>
      </c>
      <c r="E123" s="139">
        <v>1972.3809999999999</v>
      </c>
      <c r="F123" s="139">
        <v>1858.566</v>
      </c>
      <c r="G123" s="139">
        <v>0</v>
      </c>
      <c r="H123" s="139">
        <v>176.55500000000001</v>
      </c>
      <c r="I123" s="139">
        <v>98.343999999999994</v>
      </c>
      <c r="J123" s="153">
        <v>597.65599999999995</v>
      </c>
    </row>
    <row r="124" spans="1:10" ht="14.5">
      <c r="A124" s="473"/>
      <c r="B124" s="456" t="s">
        <v>116</v>
      </c>
      <c r="C124" s="148">
        <f t="shared" si="3"/>
        <v>5614.0278858300007</v>
      </c>
      <c r="D124" s="142">
        <v>782.6916895899999</v>
      </c>
      <c r="E124" s="142">
        <v>1651.5451236000001</v>
      </c>
      <c r="F124" s="142">
        <v>2291.5407653000007</v>
      </c>
      <c r="G124" s="142">
        <v>0</v>
      </c>
      <c r="H124" s="142">
        <v>180.62064042999998</v>
      </c>
      <c r="I124" s="142">
        <v>106.13420600000001</v>
      </c>
      <c r="J124" s="154">
        <v>601.49546091000002</v>
      </c>
    </row>
    <row r="125" spans="1:10" ht="14.5">
      <c r="A125" s="471">
        <v>2021</v>
      </c>
      <c r="B125" s="454" t="s">
        <v>105</v>
      </c>
      <c r="C125" s="161">
        <f t="shared" si="3"/>
        <v>5076.9464910199995</v>
      </c>
      <c r="D125" s="136">
        <v>778.57693502999996</v>
      </c>
      <c r="E125" s="136">
        <v>1184.1725561999999</v>
      </c>
      <c r="F125" s="136">
        <v>2218.5866162500001</v>
      </c>
      <c r="G125" s="136">
        <v>0</v>
      </c>
      <c r="H125" s="136">
        <v>187.83415579000001</v>
      </c>
      <c r="I125" s="136">
        <v>107.69211338</v>
      </c>
      <c r="J125" s="152">
        <v>600.08411437000007</v>
      </c>
    </row>
    <row r="126" spans="1:10" ht="14.5">
      <c r="A126" s="472"/>
      <c r="B126" s="455" t="s">
        <v>106</v>
      </c>
      <c r="C126" s="146">
        <f t="shared" si="3"/>
        <v>5212.5550852699998</v>
      </c>
      <c r="D126" s="139">
        <v>754.24850202999994</v>
      </c>
      <c r="E126" s="139">
        <v>1578.8651800799998</v>
      </c>
      <c r="F126" s="139">
        <v>1982.2200335200005</v>
      </c>
      <c r="G126" s="139">
        <v>0</v>
      </c>
      <c r="H126" s="139">
        <v>191.18552721</v>
      </c>
      <c r="I126" s="139">
        <v>108.90700005000001</v>
      </c>
      <c r="J126" s="153">
        <v>597.12884237999992</v>
      </c>
    </row>
    <row r="127" spans="1:10" ht="14.5">
      <c r="A127" s="472"/>
      <c r="B127" s="455" t="s">
        <v>107</v>
      </c>
      <c r="C127" s="146">
        <f t="shared" si="3"/>
        <v>5728.5053926599967</v>
      </c>
      <c r="D127" s="139">
        <v>747.19940073999999</v>
      </c>
      <c r="E127" s="139">
        <v>1973.7212110199994</v>
      </c>
      <c r="F127" s="139">
        <v>2091.3936381399976</v>
      </c>
      <c r="G127" s="139">
        <v>0</v>
      </c>
      <c r="H127" s="139">
        <v>205.16481556000002</v>
      </c>
      <c r="I127" s="139">
        <v>114.55411653</v>
      </c>
      <c r="J127" s="153">
        <v>596.47221066999998</v>
      </c>
    </row>
    <row r="128" spans="1:10" ht="14.5">
      <c r="A128" s="472"/>
      <c r="B128" s="455" t="s">
        <v>108</v>
      </c>
      <c r="C128" s="146">
        <f t="shared" si="3"/>
        <v>5103.0185391800005</v>
      </c>
      <c r="D128" s="139">
        <v>757.78910042999996</v>
      </c>
      <c r="E128" s="139">
        <v>1473.7742108700002</v>
      </c>
      <c r="F128" s="139">
        <v>1950.1441045200002</v>
      </c>
      <c r="G128" s="139">
        <v>0</v>
      </c>
      <c r="H128" s="139">
        <v>214.32340823999996</v>
      </c>
      <c r="I128" s="139">
        <v>111.98905065</v>
      </c>
      <c r="J128" s="153">
        <v>594.99866447000011</v>
      </c>
    </row>
    <row r="129" spans="1:10" ht="14.5">
      <c r="A129" s="472"/>
      <c r="B129" s="455" t="s">
        <v>109</v>
      </c>
      <c r="C129" s="146">
        <f t="shared" si="3"/>
        <v>5205.1945403099999</v>
      </c>
      <c r="D129" s="139">
        <v>782.72398330999999</v>
      </c>
      <c r="E129" s="139">
        <v>1506.65844765</v>
      </c>
      <c r="F129" s="139">
        <v>1988.1312574699998</v>
      </c>
      <c r="G129" s="139">
        <v>0</v>
      </c>
      <c r="H129" s="139">
        <v>216.00976565999997</v>
      </c>
      <c r="I129" s="139">
        <v>114.07676671</v>
      </c>
      <c r="J129" s="153">
        <v>597.59431950999999</v>
      </c>
    </row>
    <row r="130" spans="1:10" ht="14.5">
      <c r="A130" s="472"/>
      <c r="B130" s="455" t="s">
        <v>110</v>
      </c>
      <c r="C130" s="146">
        <f t="shared" si="3"/>
        <v>5684.761631540001</v>
      </c>
      <c r="D130" s="139">
        <v>763.33685969999999</v>
      </c>
      <c r="E130" s="139">
        <v>1975.3069615100003</v>
      </c>
      <c r="F130" s="139">
        <v>2008.1432848100001</v>
      </c>
      <c r="G130" s="139">
        <v>0</v>
      </c>
      <c r="H130" s="139">
        <v>220.62333197000001</v>
      </c>
      <c r="I130" s="139">
        <v>118.10591706999999</v>
      </c>
      <c r="J130" s="153">
        <v>599.24527647999992</v>
      </c>
    </row>
    <row r="131" spans="1:10" ht="14.5">
      <c r="A131" s="472"/>
      <c r="B131" s="455" t="s">
        <v>117</v>
      </c>
      <c r="C131" s="146">
        <f t="shared" si="3"/>
        <v>5176.1224534399998</v>
      </c>
      <c r="D131" s="139">
        <v>781.74772194999991</v>
      </c>
      <c r="E131" s="139">
        <v>1423.9499306299999</v>
      </c>
      <c r="F131" s="139">
        <v>2023.9272470599999</v>
      </c>
      <c r="G131" s="139">
        <v>0</v>
      </c>
      <c r="H131" s="139">
        <v>224.30886587000001</v>
      </c>
      <c r="I131" s="139">
        <v>118.35297207999999</v>
      </c>
      <c r="J131" s="153">
        <v>603.83571585000016</v>
      </c>
    </row>
    <row r="132" spans="1:10" ht="14.5">
      <c r="A132" s="472"/>
      <c r="B132" s="455" t="s">
        <v>112</v>
      </c>
      <c r="C132" s="146">
        <f t="shared" si="3"/>
        <v>5876.0435630599995</v>
      </c>
      <c r="D132" s="139">
        <v>1326.1975108499998</v>
      </c>
      <c r="E132" s="139">
        <v>1529.7932863199999</v>
      </c>
      <c r="F132" s="139">
        <v>2076.9665677300004</v>
      </c>
      <c r="G132" s="139">
        <v>0</v>
      </c>
      <c r="H132" s="139">
        <v>226.69960117000002</v>
      </c>
      <c r="I132" s="139">
        <v>118.12748982999999</v>
      </c>
      <c r="J132" s="153">
        <v>598.25910716000021</v>
      </c>
    </row>
    <row r="133" spans="1:10" ht="14.5">
      <c r="A133" s="472"/>
      <c r="B133" s="455" t="s">
        <v>113</v>
      </c>
      <c r="C133" s="146">
        <f t="shared" si="3"/>
        <v>6451.3185879299999</v>
      </c>
      <c r="D133" s="139">
        <v>1316.5211535000001</v>
      </c>
      <c r="E133" s="139">
        <v>2130.6865494799999</v>
      </c>
      <c r="F133" s="139">
        <v>2052.2739833399996</v>
      </c>
      <c r="G133" s="139">
        <v>0</v>
      </c>
      <c r="H133" s="139">
        <v>220.12943197999999</v>
      </c>
      <c r="I133" s="139">
        <v>76.55477175</v>
      </c>
      <c r="J133" s="153">
        <v>655.15269788000012</v>
      </c>
    </row>
    <row r="134" spans="1:10" ht="14.5">
      <c r="A134" s="472"/>
      <c r="B134" s="455" t="s">
        <v>114</v>
      </c>
      <c r="C134" s="146">
        <f t="shared" ref="C134:C178" si="4">SUM(D134:J134)</f>
        <v>5996.4636979400002</v>
      </c>
      <c r="D134" s="139">
        <v>1311.9104129499999</v>
      </c>
      <c r="E134" s="139">
        <v>1620.5527067099997</v>
      </c>
      <c r="F134" s="139">
        <v>2106.74369987</v>
      </c>
      <c r="G134" s="139">
        <v>0</v>
      </c>
      <c r="H134" s="139">
        <v>230.16220518999995</v>
      </c>
      <c r="I134" s="139">
        <v>76.483224589999992</v>
      </c>
      <c r="J134" s="153">
        <v>650.61144863000004</v>
      </c>
    </row>
    <row r="135" spans="1:10">
      <c r="A135" s="449"/>
      <c r="B135" s="455" t="s">
        <v>115</v>
      </c>
      <c r="C135" s="146">
        <f t="shared" si="4"/>
        <v>6036.2810266400011</v>
      </c>
      <c r="D135" s="139">
        <v>1332.0662781000001</v>
      </c>
      <c r="E135" s="139">
        <v>1375.9447346199995</v>
      </c>
      <c r="F135" s="139">
        <v>2358.5978699700013</v>
      </c>
      <c r="G135" s="139">
        <v>0</v>
      </c>
      <c r="H135" s="139">
        <v>228.58838245999996</v>
      </c>
      <c r="I135" s="139">
        <v>77.586293629999986</v>
      </c>
      <c r="J135" s="153">
        <v>663.49746786000014</v>
      </c>
    </row>
    <row r="136" spans="1:10">
      <c r="A136" s="451"/>
      <c r="B136" s="456" t="s">
        <v>116</v>
      </c>
      <c r="C136" s="148">
        <f t="shared" si="4"/>
        <v>7087.3828572499988</v>
      </c>
      <c r="D136" s="142">
        <v>1320.4258119200001</v>
      </c>
      <c r="E136" s="142">
        <v>2555.2409720100004</v>
      </c>
      <c r="F136" s="142">
        <v>2236.3098937499985</v>
      </c>
      <c r="G136" s="142">
        <v>0</v>
      </c>
      <c r="H136" s="142">
        <v>232.99162994999995</v>
      </c>
      <c r="I136" s="142">
        <v>82.364495339999991</v>
      </c>
      <c r="J136" s="154">
        <v>660.05005428000015</v>
      </c>
    </row>
    <row r="137" spans="1:10" ht="14.5">
      <c r="A137" s="471">
        <v>2022</v>
      </c>
      <c r="B137" s="454" t="s">
        <v>105</v>
      </c>
      <c r="C137" s="136">
        <f t="shared" si="4"/>
        <v>6011.7196516899985</v>
      </c>
      <c r="D137" s="136">
        <v>1309.9146612899999</v>
      </c>
      <c r="E137" s="136">
        <v>1302.0045157399998</v>
      </c>
      <c r="F137" s="136">
        <v>2438.5960245599995</v>
      </c>
      <c r="G137" s="136">
        <v>0</v>
      </c>
      <c r="H137" s="136">
        <v>224.56661444999997</v>
      </c>
      <c r="I137" s="136">
        <v>82.21120999</v>
      </c>
      <c r="J137" s="152">
        <v>654.42662566000013</v>
      </c>
    </row>
    <row r="138" spans="1:10">
      <c r="A138" s="449"/>
      <c r="B138" s="455" t="s">
        <v>106</v>
      </c>
      <c r="C138" s="139">
        <f t="shared" si="4"/>
        <v>5791.9328756400009</v>
      </c>
      <c r="D138" s="139">
        <v>1332.78559836</v>
      </c>
      <c r="E138" s="139">
        <v>1303.78998078</v>
      </c>
      <c r="F138" s="139">
        <v>2199.6252996500007</v>
      </c>
      <c r="G138" s="139">
        <v>0</v>
      </c>
      <c r="H138" s="139">
        <v>219.98489050999999</v>
      </c>
      <c r="I138" s="139">
        <v>82.159790900000004</v>
      </c>
      <c r="J138" s="153">
        <v>653.58731544000011</v>
      </c>
    </row>
    <row r="139" spans="1:10">
      <c r="A139" s="449"/>
      <c r="B139" s="455" t="s">
        <v>107</v>
      </c>
      <c r="C139" s="139">
        <f t="shared" si="4"/>
        <v>6887.2286556400004</v>
      </c>
      <c r="D139" s="139">
        <v>1331.21937342</v>
      </c>
      <c r="E139" s="139">
        <v>2440.7205899399996</v>
      </c>
      <c r="F139" s="139">
        <v>2200.6989852300012</v>
      </c>
      <c r="G139" s="139">
        <v>0</v>
      </c>
      <c r="H139" s="139">
        <v>225.51685690999997</v>
      </c>
      <c r="I139" s="139">
        <v>81.955818570000005</v>
      </c>
      <c r="J139" s="153">
        <v>607.11703157000011</v>
      </c>
    </row>
    <row r="140" spans="1:10">
      <c r="A140" s="449"/>
      <c r="B140" s="455" t="s">
        <v>108</v>
      </c>
      <c r="C140" s="139">
        <f t="shared" si="4"/>
        <v>5743.3677311599995</v>
      </c>
      <c r="D140" s="139">
        <v>1328.0661662099999</v>
      </c>
      <c r="E140" s="139">
        <v>1424.4089767299997</v>
      </c>
      <c r="F140" s="139">
        <v>2095.6800035599995</v>
      </c>
      <c r="G140" s="139">
        <v>0</v>
      </c>
      <c r="H140" s="139">
        <v>209.24480128999997</v>
      </c>
      <c r="I140" s="139">
        <v>81.700222929999995</v>
      </c>
      <c r="J140" s="153">
        <v>604.26756044000012</v>
      </c>
    </row>
    <row r="141" spans="1:10">
      <c r="A141" s="449"/>
      <c r="B141" s="455" t="s">
        <v>109</v>
      </c>
      <c r="C141" s="139">
        <f t="shared" si="4"/>
        <v>5649.1666313799997</v>
      </c>
      <c r="D141" s="139">
        <v>1305.62137669</v>
      </c>
      <c r="E141" s="139">
        <v>1336.3566710299997</v>
      </c>
      <c r="F141" s="139">
        <v>2116.74340416</v>
      </c>
      <c r="G141" s="139">
        <v>0</v>
      </c>
      <c r="H141" s="139">
        <v>208.47853717999999</v>
      </c>
      <c r="I141" s="139">
        <v>81.534450230000004</v>
      </c>
      <c r="J141" s="153">
        <v>600.43219208999994</v>
      </c>
    </row>
    <row r="142" spans="1:10">
      <c r="A142" s="449"/>
      <c r="B142" s="455" t="s">
        <v>110</v>
      </c>
      <c r="C142" s="139">
        <f t="shared" si="4"/>
        <v>7213.6425321600009</v>
      </c>
      <c r="D142" s="139">
        <v>1306.2907979199999</v>
      </c>
      <c r="E142" s="139">
        <v>2824.6653637599998</v>
      </c>
      <c r="F142" s="139">
        <v>2227.9939930700002</v>
      </c>
      <c r="G142" s="139">
        <v>0</v>
      </c>
      <c r="H142" s="139">
        <v>193.74181064999999</v>
      </c>
      <c r="I142" s="139">
        <v>82.058392999999995</v>
      </c>
      <c r="J142" s="153">
        <v>578.89217376000011</v>
      </c>
    </row>
    <row r="143" spans="1:10">
      <c r="A143" s="449"/>
      <c r="B143" s="455" t="s">
        <v>117</v>
      </c>
      <c r="C143" s="139">
        <f t="shared" si="4"/>
        <v>5547.7163920499988</v>
      </c>
      <c r="D143" s="139">
        <v>1276.8552083999998</v>
      </c>
      <c r="E143" s="139">
        <v>1210.7376542899999</v>
      </c>
      <c r="F143" s="139">
        <v>2203.2688339199995</v>
      </c>
      <c r="G143" s="139">
        <v>0</v>
      </c>
      <c r="H143" s="139">
        <v>204.55628720000001</v>
      </c>
      <c r="I143" s="139">
        <v>82.05678825999999</v>
      </c>
      <c r="J143" s="153">
        <v>570.24161998</v>
      </c>
    </row>
    <row r="144" spans="1:10">
      <c r="A144" s="449"/>
      <c r="B144" s="455" t="s">
        <v>112</v>
      </c>
      <c r="C144" s="139">
        <f t="shared" si="4"/>
        <v>5725.2831784799992</v>
      </c>
      <c r="D144" s="139">
        <v>1270.176641</v>
      </c>
      <c r="E144" s="139">
        <v>1379.7332994100004</v>
      </c>
      <c r="F144" s="139">
        <v>2224.8704176499991</v>
      </c>
      <c r="G144" s="139">
        <v>0</v>
      </c>
      <c r="H144" s="139">
        <v>198.84615073999996</v>
      </c>
      <c r="I144" s="139">
        <v>82.649257399999982</v>
      </c>
      <c r="J144" s="153">
        <v>569.00741228000004</v>
      </c>
    </row>
    <row r="145" spans="1:10">
      <c r="A145" s="449"/>
      <c r="B145" s="455" t="s">
        <v>113</v>
      </c>
      <c r="C145" s="139">
        <f t="shared" si="4"/>
        <v>7003.75314678</v>
      </c>
      <c r="D145" s="139">
        <v>1279.86505732</v>
      </c>
      <c r="E145" s="139">
        <v>2658.5183943299999</v>
      </c>
      <c r="F145" s="139">
        <v>2220.3508920699996</v>
      </c>
      <c r="G145" s="139">
        <v>0</v>
      </c>
      <c r="H145" s="139">
        <v>186.80533014</v>
      </c>
      <c r="I145" s="139">
        <v>82.753351329999987</v>
      </c>
      <c r="J145" s="153">
        <v>575.46012159000009</v>
      </c>
    </row>
    <row r="146" spans="1:10">
      <c r="A146" s="449"/>
      <c r="B146" s="455" t="s">
        <v>114</v>
      </c>
      <c r="C146" s="139">
        <f t="shared" si="4"/>
        <v>5534.6027181899999</v>
      </c>
      <c r="D146" s="139">
        <v>1255.9248255099999</v>
      </c>
      <c r="E146" s="139">
        <v>1261.1106091500001</v>
      </c>
      <c r="F146" s="139">
        <v>2181.6341792099993</v>
      </c>
      <c r="G146" s="139">
        <v>0</v>
      </c>
      <c r="H146" s="139">
        <v>183.77874692999998</v>
      </c>
      <c r="I146" s="139">
        <v>84.666992779999987</v>
      </c>
      <c r="J146" s="153">
        <v>567.4873646100001</v>
      </c>
    </row>
    <row r="147" spans="1:10">
      <c r="A147" s="449"/>
      <c r="B147" s="455" t="s">
        <v>115</v>
      </c>
      <c r="C147" s="139">
        <f t="shared" si="4"/>
        <v>5711.992591780001</v>
      </c>
      <c r="D147" s="139">
        <v>1265.0355860099999</v>
      </c>
      <c r="E147" s="139">
        <v>1348.2668106100002</v>
      </c>
      <c r="F147" s="139">
        <v>2253.1311286800005</v>
      </c>
      <c r="G147" s="139">
        <v>0</v>
      </c>
      <c r="H147" s="139">
        <v>191.69553559999997</v>
      </c>
      <c r="I147" s="139">
        <v>88.155549810000011</v>
      </c>
      <c r="J147" s="153">
        <v>565.7079810700003</v>
      </c>
    </row>
    <row r="148" spans="1:10">
      <c r="A148" s="451"/>
      <c r="B148" s="456" t="s">
        <v>116</v>
      </c>
      <c r="C148" s="142">
        <f t="shared" si="4"/>
        <v>7052.1607012900013</v>
      </c>
      <c r="D148" s="142">
        <v>1267.0231908600001</v>
      </c>
      <c r="E148" s="142">
        <v>2750.1275797400008</v>
      </c>
      <c r="F148" s="142">
        <v>2209.2267206400002</v>
      </c>
      <c r="G148" s="142">
        <v>0</v>
      </c>
      <c r="H148" s="142">
        <v>176.52498003999995</v>
      </c>
      <c r="I148" s="142">
        <v>84.700236290000007</v>
      </c>
      <c r="J148" s="154">
        <v>564.55799372000024</v>
      </c>
    </row>
    <row r="149" spans="1:10" ht="14.5">
      <c r="A149" s="471">
        <v>2023</v>
      </c>
      <c r="B149" s="454" t="s">
        <v>105</v>
      </c>
      <c r="C149" s="136">
        <f t="shared" si="4"/>
        <v>5922.5357905699993</v>
      </c>
      <c r="D149" s="136">
        <v>1267.1631001400001</v>
      </c>
      <c r="E149" s="136">
        <v>1477.3158477500001</v>
      </c>
      <c r="F149" s="136">
        <v>2352.2750849199992</v>
      </c>
      <c r="G149" s="136">
        <v>0</v>
      </c>
      <c r="H149" s="136">
        <v>185.02150662999998</v>
      </c>
      <c r="I149" s="136">
        <v>84.431052480000005</v>
      </c>
      <c r="J149" s="152">
        <v>556.32919865000019</v>
      </c>
    </row>
    <row r="150" spans="1:10">
      <c r="A150" s="449"/>
      <c r="B150" s="455" t="s">
        <v>106</v>
      </c>
      <c r="C150" s="139">
        <f t="shared" si="4"/>
        <v>5722.4199999999992</v>
      </c>
      <c r="D150" s="139">
        <v>1266.7640000000001</v>
      </c>
      <c r="E150" s="139">
        <v>1350.4449999999999</v>
      </c>
      <c r="F150" s="139">
        <v>2275.2069999999999</v>
      </c>
      <c r="G150" s="139">
        <v>0</v>
      </c>
      <c r="H150" s="139">
        <v>183.52600000000001</v>
      </c>
      <c r="I150" s="139">
        <v>84.341000000000008</v>
      </c>
      <c r="J150" s="153">
        <v>562.13699999999994</v>
      </c>
    </row>
    <row r="151" spans="1:10">
      <c r="A151" s="449"/>
      <c r="B151" s="455" t="s">
        <v>107</v>
      </c>
      <c r="C151" s="139">
        <f t="shared" si="4"/>
        <v>6001.2876534100014</v>
      </c>
      <c r="D151" s="139">
        <v>1289.36822381</v>
      </c>
      <c r="E151" s="139">
        <v>1651.3166224900001</v>
      </c>
      <c r="F151" s="139">
        <v>2227.7218440400011</v>
      </c>
      <c r="G151" s="139">
        <v>0</v>
      </c>
      <c r="H151" s="139">
        <v>186.98388172999995</v>
      </c>
      <c r="I151" s="139">
        <v>85.645728660000003</v>
      </c>
      <c r="J151" s="153">
        <v>560.25135268000008</v>
      </c>
    </row>
    <row r="152" spans="1:10">
      <c r="A152" s="449"/>
      <c r="B152" s="455" t="s">
        <v>108</v>
      </c>
      <c r="C152" s="139">
        <f t="shared" si="4"/>
        <v>5706.1629999999996</v>
      </c>
      <c r="D152" s="139">
        <v>1297.2179999999998</v>
      </c>
      <c r="E152" s="139">
        <v>1442.7719999999999</v>
      </c>
      <c r="F152" s="139">
        <v>2126.5659999999998</v>
      </c>
      <c r="G152" s="139">
        <v>0</v>
      </c>
      <c r="H152" s="139">
        <v>190.67099999999999</v>
      </c>
      <c r="I152" s="139">
        <v>85.19</v>
      </c>
      <c r="J152" s="153">
        <v>563.74599999999998</v>
      </c>
    </row>
    <row r="153" spans="1:10">
      <c r="A153" s="449"/>
      <c r="B153" s="455" t="s">
        <v>109</v>
      </c>
      <c r="C153" s="139">
        <f t="shared" si="4"/>
        <v>5757.7842946399996</v>
      </c>
      <c r="D153" s="139">
        <v>1315.3628106799999</v>
      </c>
      <c r="E153" s="139">
        <v>1448.5218174000001</v>
      </c>
      <c r="F153" s="139">
        <v>2177.9144370799991</v>
      </c>
      <c r="G153" s="139">
        <v>0</v>
      </c>
      <c r="H153" s="139">
        <v>166.96752628999997</v>
      </c>
      <c r="I153" s="139">
        <v>85.09398044000001</v>
      </c>
      <c r="J153" s="153">
        <v>563.92372275000025</v>
      </c>
    </row>
    <row r="154" spans="1:10">
      <c r="A154" s="449"/>
      <c r="B154" s="455" t="s">
        <v>110</v>
      </c>
      <c r="C154" s="139">
        <f t="shared" si="4"/>
        <v>5717.2532006399997</v>
      </c>
      <c r="D154" s="139">
        <v>1307.8439781500001</v>
      </c>
      <c r="E154" s="139">
        <v>1377.9145240400003</v>
      </c>
      <c r="F154" s="139">
        <v>2195.899344559999</v>
      </c>
      <c r="G154" s="139">
        <v>0</v>
      </c>
      <c r="H154" s="139">
        <v>175.59234750999997</v>
      </c>
      <c r="I154" s="139">
        <v>93.99755347</v>
      </c>
      <c r="J154" s="153">
        <v>566.00545291000026</v>
      </c>
    </row>
    <row r="155" spans="1:10">
      <c r="A155" s="449"/>
      <c r="B155" s="455" t="s">
        <v>117</v>
      </c>
      <c r="C155" s="139">
        <f t="shared" si="4"/>
        <v>5630.0579362499993</v>
      </c>
      <c r="D155" s="139">
        <v>1289.4501253099997</v>
      </c>
      <c r="E155" s="139">
        <v>1385.9739527799998</v>
      </c>
      <c r="F155" s="139">
        <v>2123.2359396400002</v>
      </c>
      <c r="G155" s="139">
        <v>0</v>
      </c>
      <c r="H155" s="139">
        <v>178.52686459</v>
      </c>
      <c r="I155" s="139">
        <v>91.502816780000003</v>
      </c>
      <c r="J155" s="153">
        <v>561.36823715000025</v>
      </c>
    </row>
    <row r="156" spans="1:10">
      <c r="A156" s="449"/>
      <c r="B156" s="455" t="s">
        <v>112</v>
      </c>
      <c r="C156" s="139">
        <f t="shared" si="4"/>
        <v>5728.5468846299982</v>
      </c>
      <c r="D156" s="139">
        <v>1294.8322881099998</v>
      </c>
      <c r="E156" s="139">
        <v>1423.1593742000002</v>
      </c>
      <c r="F156" s="139">
        <v>2178.7885174199987</v>
      </c>
      <c r="G156" s="139">
        <v>0</v>
      </c>
      <c r="H156" s="139">
        <v>176.21539121000004</v>
      </c>
      <c r="I156" s="139">
        <v>91.532466849999992</v>
      </c>
      <c r="J156" s="153">
        <v>564.01884684000015</v>
      </c>
    </row>
    <row r="157" spans="1:10">
      <c r="A157" s="449"/>
      <c r="B157" s="455" t="s">
        <v>113</v>
      </c>
      <c r="C157" s="139">
        <f t="shared" si="4"/>
        <v>5737.7800383300009</v>
      </c>
      <c r="D157" s="139">
        <v>1284.0274742199999</v>
      </c>
      <c r="E157" s="139">
        <v>1584.1988540500001</v>
      </c>
      <c r="F157" s="139">
        <v>2042.1022527200003</v>
      </c>
      <c r="G157" s="139">
        <v>0</v>
      </c>
      <c r="H157" s="139">
        <v>171.76353789000004</v>
      </c>
      <c r="I157" s="139">
        <v>91.612761919999997</v>
      </c>
      <c r="J157" s="153">
        <v>564.07515752999996</v>
      </c>
    </row>
    <row r="158" spans="1:10">
      <c r="A158" s="449"/>
      <c r="B158" s="455" t="s">
        <v>114</v>
      </c>
      <c r="C158" s="139">
        <f t="shared" si="4"/>
        <v>5630.6473262499985</v>
      </c>
      <c r="D158" s="139">
        <v>1311.54012414</v>
      </c>
      <c r="E158" s="139">
        <v>1464.0523061999997</v>
      </c>
      <c r="F158" s="139">
        <v>2031.85959862</v>
      </c>
      <c r="G158" s="139">
        <v>0</v>
      </c>
      <c r="H158" s="139">
        <v>167.00222100000002</v>
      </c>
      <c r="I158" s="139">
        <v>91.668382789999995</v>
      </c>
      <c r="J158" s="153">
        <v>564.52469350000001</v>
      </c>
    </row>
    <row r="159" spans="1:10">
      <c r="A159" s="449"/>
      <c r="B159" s="455" t="s">
        <v>115</v>
      </c>
      <c r="C159" s="139">
        <f t="shared" si="4"/>
        <v>5795.7056235699984</v>
      </c>
      <c r="D159" s="139">
        <v>1298.8873232099997</v>
      </c>
      <c r="E159" s="139">
        <v>1461.02589137</v>
      </c>
      <c r="F159" s="139">
        <v>2209.8261976899998</v>
      </c>
      <c r="G159" s="139">
        <v>0</v>
      </c>
      <c r="H159" s="139">
        <v>175.34580408000002</v>
      </c>
      <c r="I159" s="139">
        <v>92.13031088999999</v>
      </c>
      <c r="J159" s="153">
        <v>558.49009633000003</v>
      </c>
    </row>
    <row r="160" spans="1:10">
      <c r="A160" s="451"/>
      <c r="B160" s="456" t="s">
        <v>116</v>
      </c>
      <c r="C160" s="142">
        <f t="shared" si="4"/>
        <v>6144.0186475499995</v>
      </c>
      <c r="D160" s="142">
        <v>1305.2974060999998</v>
      </c>
      <c r="E160" s="142">
        <v>1988.0215639399999</v>
      </c>
      <c r="F160" s="142">
        <v>2012.6448604199993</v>
      </c>
      <c r="G160" s="142">
        <v>0</v>
      </c>
      <c r="H160" s="142">
        <v>180.31463182000005</v>
      </c>
      <c r="I160" s="212">
        <v>97.629529759999983</v>
      </c>
      <c r="J160" s="154">
        <v>560.11065551000002</v>
      </c>
    </row>
    <row r="161" spans="1:12" ht="14.5">
      <c r="A161" s="471">
        <v>2024</v>
      </c>
      <c r="B161" s="454" t="s">
        <v>105</v>
      </c>
      <c r="C161" s="136">
        <f t="shared" si="4"/>
        <v>5887.7027523299985</v>
      </c>
      <c r="D161" s="136">
        <v>1306.86434487</v>
      </c>
      <c r="E161" s="136">
        <v>1625.6941781399996</v>
      </c>
      <c r="F161" s="136">
        <v>2114.4470812099989</v>
      </c>
      <c r="G161" s="136">
        <v>0</v>
      </c>
      <c r="H161" s="136">
        <v>182.70408768000001</v>
      </c>
      <c r="I161" s="136">
        <v>97.400341559999987</v>
      </c>
      <c r="J161" s="152">
        <v>560.59271887</v>
      </c>
    </row>
    <row r="162" spans="1:12">
      <c r="A162" s="449"/>
      <c r="B162" s="455" t="s">
        <v>106</v>
      </c>
      <c r="C162" s="139">
        <f t="shared" si="4"/>
        <v>5887.1304911300003</v>
      </c>
      <c r="D162" s="139">
        <v>1310.0272568999999</v>
      </c>
      <c r="E162" s="139">
        <v>1654.3210128599999</v>
      </c>
      <c r="F162" s="139">
        <v>2074.2316429700004</v>
      </c>
      <c r="G162" s="139">
        <v>0</v>
      </c>
      <c r="H162" s="139">
        <v>189.59507887000001</v>
      </c>
      <c r="I162" s="139">
        <v>97.812416049999996</v>
      </c>
      <c r="J162" s="153">
        <v>561.14308348000009</v>
      </c>
    </row>
    <row r="163" spans="1:12">
      <c r="A163" s="449"/>
      <c r="B163" s="455" t="s">
        <v>107</v>
      </c>
      <c r="C163" s="139">
        <f t="shared" si="4"/>
        <v>6211.6170234099991</v>
      </c>
      <c r="D163" s="139">
        <v>1343.4841938499999</v>
      </c>
      <c r="E163" s="139">
        <v>1834.5714466000002</v>
      </c>
      <c r="F163" s="139">
        <v>2179.1830836199979</v>
      </c>
      <c r="G163" s="139">
        <v>0</v>
      </c>
      <c r="H163" s="139">
        <v>196.19064158000003</v>
      </c>
      <c r="I163" s="139">
        <v>97.537358530000006</v>
      </c>
      <c r="J163" s="153">
        <v>560.65029922999997</v>
      </c>
    </row>
    <row r="164" spans="1:12">
      <c r="A164" s="449"/>
      <c r="B164" s="455" t="s">
        <v>108</v>
      </c>
      <c r="C164" s="139">
        <f t="shared" si="4"/>
        <v>5891.3728206899996</v>
      </c>
      <c r="D164" s="139">
        <v>1371.8491785800002</v>
      </c>
      <c r="E164" s="139">
        <v>1506.65950774</v>
      </c>
      <c r="F164" s="139">
        <v>2158.6589003799991</v>
      </c>
      <c r="G164" s="139">
        <v>0</v>
      </c>
      <c r="H164" s="139">
        <v>193.09273656999997</v>
      </c>
      <c r="I164" s="139">
        <v>97.117323660000011</v>
      </c>
      <c r="J164" s="153">
        <v>563.99517375999994</v>
      </c>
    </row>
    <row r="165" spans="1:12">
      <c r="A165" s="449"/>
      <c r="B165" s="455" t="s">
        <v>109</v>
      </c>
      <c r="C165" s="139">
        <f t="shared" si="4"/>
        <v>5780.8153536900008</v>
      </c>
      <c r="D165" s="139">
        <v>1373.52564545</v>
      </c>
      <c r="E165" s="139">
        <v>1431.4271451500003</v>
      </c>
      <c r="F165" s="139">
        <v>2118.2977989600008</v>
      </c>
      <c r="G165" s="139">
        <v>0</v>
      </c>
      <c r="H165" s="139">
        <v>197.59895376</v>
      </c>
      <c r="I165" s="139">
        <v>97.498940650000009</v>
      </c>
      <c r="J165" s="153">
        <v>562.46686972000009</v>
      </c>
    </row>
    <row r="166" spans="1:12">
      <c r="A166" s="449"/>
      <c r="B166" s="455" t="s">
        <v>110</v>
      </c>
      <c r="C166" s="139">
        <f t="shared" si="4"/>
        <v>5801.3132912199999</v>
      </c>
      <c r="D166" s="139">
        <v>1370.89811341</v>
      </c>
      <c r="E166" s="139">
        <v>1480.76796066</v>
      </c>
      <c r="F166" s="139">
        <v>2087.7455921000005</v>
      </c>
      <c r="G166" s="139">
        <v>0</v>
      </c>
      <c r="H166" s="139">
        <v>201.96015896999998</v>
      </c>
      <c r="I166" s="139">
        <v>97.465308700000008</v>
      </c>
      <c r="J166" s="153">
        <v>562.47615738000002</v>
      </c>
    </row>
    <row r="167" spans="1:12">
      <c r="A167" s="449"/>
      <c r="B167" s="455" t="s">
        <v>117</v>
      </c>
      <c r="C167" s="139">
        <f t="shared" si="4"/>
        <v>5904.9000861099994</v>
      </c>
      <c r="D167" s="139">
        <v>1382.35633138</v>
      </c>
      <c r="E167" s="139">
        <v>1392.4695219099999</v>
      </c>
      <c r="F167" s="139">
        <v>2268.8298346299998</v>
      </c>
      <c r="G167" s="139">
        <v>0</v>
      </c>
      <c r="H167" s="139">
        <v>201.85556097000003</v>
      </c>
      <c r="I167" s="139">
        <v>97.453326690000011</v>
      </c>
      <c r="J167" s="153">
        <v>561.93551052999987</v>
      </c>
    </row>
    <row r="168" spans="1:12">
      <c r="A168" s="449"/>
      <c r="B168" s="455" t="s">
        <v>112</v>
      </c>
      <c r="C168" s="139">
        <f t="shared" si="4"/>
        <v>5747.6009999999987</v>
      </c>
      <c r="D168" s="139">
        <v>1372.4829999999999</v>
      </c>
      <c r="E168" s="139">
        <v>1394.0919999999999</v>
      </c>
      <c r="F168" s="139">
        <v>2133.2959999999998</v>
      </c>
      <c r="G168" s="139">
        <v>0</v>
      </c>
      <c r="H168" s="139">
        <v>200.023</v>
      </c>
      <c r="I168" s="139">
        <v>97.614000000000004</v>
      </c>
      <c r="J168" s="153">
        <v>550.09299999999996</v>
      </c>
    </row>
    <row r="169" spans="1:12">
      <c r="A169" s="449"/>
      <c r="B169" s="455" t="s">
        <v>113</v>
      </c>
      <c r="C169" s="139">
        <f t="shared" si="4"/>
        <v>5761.9495497899998</v>
      </c>
      <c r="D169" s="139">
        <v>1377.30428235</v>
      </c>
      <c r="E169" s="139">
        <v>1415.4751917199999</v>
      </c>
      <c r="F169" s="139">
        <v>2126.0180858899989</v>
      </c>
      <c r="G169" s="139">
        <v>0</v>
      </c>
      <c r="H169" s="139">
        <v>201.56405929000002</v>
      </c>
      <c r="I169" s="139">
        <v>96.75663591</v>
      </c>
      <c r="J169" s="153">
        <v>544.83129462999989</v>
      </c>
    </row>
    <row r="170" spans="1:12">
      <c r="A170" s="449"/>
      <c r="B170" s="455" t="s">
        <v>114</v>
      </c>
      <c r="C170" s="139">
        <f t="shared" si="4"/>
        <v>5926.1644930599978</v>
      </c>
      <c r="D170" s="139">
        <v>1425.96325209</v>
      </c>
      <c r="E170" s="139">
        <v>1417.2758774600002</v>
      </c>
      <c r="F170" s="139">
        <v>2230.4995265299981</v>
      </c>
      <c r="G170" s="139">
        <v>0</v>
      </c>
      <c r="H170" s="139">
        <v>202.98155222</v>
      </c>
      <c r="I170" s="139">
        <v>96.722245979999997</v>
      </c>
      <c r="J170" s="153">
        <v>552.72203878000005</v>
      </c>
    </row>
    <row r="171" spans="1:12">
      <c r="A171" s="449"/>
      <c r="B171" s="455" t="s">
        <v>115</v>
      </c>
      <c r="C171" s="139">
        <f t="shared" si="4"/>
        <v>5889.9640171700003</v>
      </c>
      <c r="D171" s="139">
        <v>1421.5583236699999</v>
      </c>
      <c r="E171" s="139">
        <v>1470.5198798899999</v>
      </c>
      <c r="F171" s="139">
        <v>2132.889342850001</v>
      </c>
      <c r="G171" s="139">
        <v>0</v>
      </c>
      <c r="H171" s="139">
        <v>213.00622069999997</v>
      </c>
      <c r="I171" s="139">
        <v>96.70416800000001</v>
      </c>
      <c r="J171" s="153">
        <v>555.28608206000001</v>
      </c>
    </row>
    <row r="172" spans="1:12">
      <c r="A172" s="451"/>
      <c r="B172" s="456" t="s">
        <v>116</v>
      </c>
      <c r="C172" s="142">
        <f t="shared" si="4"/>
        <v>6101.7823503900008</v>
      </c>
      <c r="D172" s="142">
        <v>1419.6703781400001</v>
      </c>
      <c r="E172" s="142">
        <v>1545.8382383299995</v>
      </c>
      <c r="F172" s="142">
        <v>2272.925011400001</v>
      </c>
      <c r="G172" s="142">
        <v>0</v>
      </c>
      <c r="H172" s="142">
        <v>211.45319199999997</v>
      </c>
      <c r="I172" s="142">
        <v>97.204647839999993</v>
      </c>
      <c r="J172" s="154">
        <v>554.69088267999996</v>
      </c>
      <c r="L172" s="74"/>
    </row>
    <row r="173" spans="1:12" ht="14.5">
      <c r="A173" s="471">
        <v>2025</v>
      </c>
      <c r="B173" s="454" t="s">
        <v>105</v>
      </c>
      <c r="C173" s="136">
        <f t="shared" si="4"/>
        <v>6022.479929959999</v>
      </c>
      <c r="D173" s="136">
        <v>1456.7603569100002</v>
      </c>
      <c r="E173" s="136">
        <v>1447.45408372</v>
      </c>
      <c r="F173" s="136">
        <v>2250.8895611099992</v>
      </c>
      <c r="G173" s="136">
        <v>0</v>
      </c>
      <c r="H173" s="136">
        <v>215.71809913999999</v>
      </c>
      <c r="I173" s="136">
        <v>128.53906404999998</v>
      </c>
      <c r="J173" s="152">
        <v>523.11876502999996</v>
      </c>
      <c r="L173" s="74"/>
    </row>
    <row r="174" spans="1:12">
      <c r="A174" s="449"/>
      <c r="B174" s="455" t="s">
        <v>106</v>
      </c>
      <c r="C174" s="139">
        <f t="shared" si="4"/>
        <v>5839.0410494000007</v>
      </c>
      <c r="D174" s="139">
        <v>1457.9631183300003</v>
      </c>
      <c r="E174" s="139">
        <v>1385.2173255</v>
      </c>
      <c r="F174" s="139">
        <v>2132.8161388299995</v>
      </c>
      <c r="G174" s="139">
        <v>0</v>
      </c>
      <c r="H174" s="139">
        <v>211.81869068999998</v>
      </c>
      <c r="I174" s="139">
        <v>96.745300790000002</v>
      </c>
      <c r="J174" s="153">
        <v>554.48047525999993</v>
      </c>
      <c r="L174" s="74"/>
    </row>
    <row r="175" spans="1:12">
      <c r="A175" s="449"/>
      <c r="B175" s="455" t="s">
        <v>107</v>
      </c>
      <c r="C175" s="139">
        <f t="shared" si="4"/>
        <v>6530.0099773799993</v>
      </c>
      <c r="D175" s="139">
        <v>1517.10630322</v>
      </c>
      <c r="E175" s="139">
        <v>2132.0592368899997</v>
      </c>
      <c r="F175" s="139">
        <v>2021.3523579599996</v>
      </c>
      <c r="G175" s="139">
        <v>0</v>
      </c>
      <c r="H175" s="139">
        <v>205.03643009999999</v>
      </c>
      <c r="I175" s="139">
        <v>96.372424489999986</v>
      </c>
      <c r="J175" s="153">
        <v>558.08322471999998</v>
      </c>
      <c r="L175" s="74"/>
    </row>
    <row r="176" spans="1:12">
      <c r="A176" s="449"/>
      <c r="B176" s="455" t="s">
        <v>108</v>
      </c>
      <c r="C176" s="139">
        <f t="shared" si="4"/>
        <v>5939.227798429999</v>
      </c>
      <c r="D176" s="139">
        <v>1533.0937863300001</v>
      </c>
      <c r="E176" s="139">
        <v>1547.3230211600001</v>
      </c>
      <c r="F176" s="139">
        <v>1999.1647134999989</v>
      </c>
      <c r="G176" s="139">
        <v>0</v>
      </c>
      <c r="H176" s="139">
        <v>199.80768771999999</v>
      </c>
      <c r="I176" s="139">
        <v>103.02684832999998</v>
      </c>
      <c r="J176" s="153">
        <v>556.81174138999995</v>
      </c>
      <c r="L176" s="74"/>
    </row>
    <row r="177" spans="1:12">
      <c r="A177" s="449"/>
      <c r="B177" s="455" t="s">
        <v>109</v>
      </c>
      <c r="C177" s="139">
        <f t="shared" si="4"/>
        <v>5747.6846902300003</v>
      </c>
      <c r="D177" s="139">
        <v>1507.8431733599998</v>
      </c>
      <c r="E177" s="139">
        <v>1509.8300140600002</v>
      </c>
      <c r="F177" s="139">
        <v>1866.5867224199999</v>
      </c>
      <c r="G177" s="139">
        <v>0</v>
      </c>
      <c r="H177" s="139">
        <v>211.39340597999998</v>
      </c>
      <c r="I177" s="139">
        <v>102.96226399</v>
      </c>
      <c r="J177" s="153">
        <v>549.06911042000002</v>
      </c>
      <c r="L177" s="74"/>
    </row>
    <row r="178" spans="1:12">
      <c r="A178" s="451"/>
      <c r="B178" s="456" t="s">
        <v>110</v>
      </c>
      <c r="C178" s="142">
        <f t="shared" si="4"/>
        <v>5755.3134080999998</v>
      </c>
      <c r="D178" s="142">
        <v>1504.5132867299999</v>
      </c>
      <c r="E178" s="142">
        <v>1518.0956880700001</v>
      </c>
      <c r="F178" s="142">
        <v>1856.9199021100003</v>
      </c>
      <c r="G178" s="142">
        <v>0</v>
      </c>
      <c r="H178" s="142">
        <v>216.97387474999994</v>
      </c>
      <c r="I178" s="142">
        <v>108.42135644999999</v>
      </c>
      <c r="J178" s="154">
        <v>550.38929999000004</v>
      </c>
      <c r="L178" s="74"/>
    </row>
    <row r="179" spans="1:12" ht="13.5" customHeight="1">
      <c r="A179" s="67"/>
      <c r="B179" s="67"/>
      <c r="C179" s="77"/>
      <c r="D179" s="77"/>
      <c r="E179" s="77"/>
      <c r="F179" s="77"/>
      <c r="G179" s="77"/>
      <c r="H179" s="77"/>
      <c r="I179" s="77"/>
      <c r="J179" s="77"/>
    </row>
    <row r="180" spans="1:12">
      <c r="A180" s="491" t="s">
        <v>167</v>
      </c>
      <c r="B180" s="475"/>
      <c r="C180" s="475"/>
      <c r="D180" s="475"/>
      <c r="F180" s="73"/>
      <c r="H180" s="73"/>
      <c r="I180" s="71"/>
      <c r="J180" s="78"/>
    </row>
    <row r="181" spans="1:12">
      <c r="A181" s="475"/>
      <c r="B181" s="475"/>
      <c r="C181" s="486"/>
      <c r="D181" s="486"/>
      <c r="E181" s="73"/>
      <c r="F181" s="73"/>
      <c r="H181" s="73"/>
      <c r="I181" s="71"/>
      <c r="J181" s="78"/>
    </row>
    <row r="182" spans="1:12">
      <c r="A182" s="475" t="s">
        <v>119</v>
      </c>
      <c r="B182" s="475"/>
      <c r="C182" s="487"/>
      <c r="D182" s="486"/>
      <c r="E182" s="73"/>
      <c r="F182" s="73"/>
      <c r="H182" s="73"/>
      <c r="I182" s="71"/>
      <c r="J182" s="78"/>
    </row>
    <row r="183" spans="1:12">
      <c r="A183" s="475" t="s">
        <v>120</v>
      </c>
      <c r="B183" s="475"/>
      <c r="C183" s="487"/>
      <c r="D183" s="486"/>
      <c r="E183" s="73"/>
      <c r="F183" s="73"/>
      <c r="G183" s="71"/>
      <c r="H183" s="73"/>
      <c r="I183" s="71"/>
      <c r="J183" s="78"/>
    </row>
    <row r="184" spans="1:12">
      <c r="A184" s="488" t="s">
        <v>168</v>
      </c>
      <c r="B184" s="489"/>
      <c r="C184" s="487"/>
      <c r="D184" s="486"/>
      <c r="E184" s="73"/>
      <c r="F184" s="73"/>
      <c r="G184" s="71"/>
      <c r="H184" s="71"/>
      <c r="I184" s="71"/>
    </row>
    <row r="185" spans="1:12">
      <c r="E185" s="73"/>
      <c r="F185" s="73"/>
      <c r="G185" s="71"/>
      <c r="H185" s="71"/>
      <c r="I185" s="71"/>
    </row>
    <row r="186" spans="1:12">
      <c r="E186" s="73"/>
      <c r="F186" s="73"/>
      <c r="G186" s="71"/>
      <c r="H186" s="71"/>
      <c r="I186" s="71"/>
    </row>
    <row r="187" spans="1:12">
      <c r="E187" s="73"/>
      <c r="F187" s="73"/>
      <c r="G187" s="71"/>
      <c r="H187" s="71"/>
      <c r="I187" s="71"/>
    </row>
    <row r="188" spans="1:12">
      <c r="E188" s="73"/>
      <c r="F188" s="73"/>
      <c r="G188" s="71"/>
      <c r="H188" s="71"/>
      <c r="I188" s="71"/>
    </row>
    <row r="189" spans="1:12">
      <c r="E189" s="73"/>
      <c r="F189" s="73"/>
      <c r="G189" s="71"/>
      <c r="H189" s="71"/>
      <c r="I189" s="71"/>
    </row>
    <row r="190" spans="1:12">
      <c r="E190" s="73"/>
      <c r="F190" s="73"/>
      <c r="G190" s="71"/>
      <c r="H190" s="71"/>
      <c r="I190" s="71"/>
    </row>
    <row r="191" spans="1:12">
      <c r="E191" s="73"/>
      <c r="F191" s="73"/>
      <c r="G191" s="71"/>
      <c r="H191" s="71"/>
      <c r="I191" s="71"/>
    </row>
    <row r="192" spans="1:12">
      <c r="E192" s="73"/>
      <c r="F192" s="73"/>
      <c r="G192" s="71"/>
      <c r="H192" s="71"/>
      <c r="I192" s="71"/>
    </row>
    <row r="193" spans="6:8">
      <c r="F193" s="71"/>
      <c r="G193" s="71"/>
      <c r="H193" s="71"/>
    </row>
    <row r="194" spans="6:8">
      <c r="F194" s="71"/>
      <c r="G194" s="71"/>
      <c r="H194" s="71"/>
    </row>
  </sheetData>
  <sheetProtection formatCells="0" insertColumns="0" insertRows="0" deleteColumns="0" deleteRows="0"/>
  <mergeCells count="11">
    <mergeCell ref="A1:H1"/>
    <mergeCell ref="J3:J4"/>
    <mergeCell ref="A2:J2"/>
    <mergeCell ref="A3:B4"/>
    <mergeCell ref="G3:G4"/>
    <mergeCell ref="C3:C4"/>
    <mergeCell ref="D3:D4"/>
    <mergeCell ref="E3:E4"/>
    <mergeCell ref="F3:F4"/>
    <mergeCell ref="H3:H4"/>
    <mergeCell ref="I3:I4"/>
  </mergeCells>
  <printOptions horizontalCentered="1"/>
  <pageMargins left="0.7" right="0.7" top="0.75" bottom="0.75" header="0.3" footer="0.3"/>
  <pageSetup paperSize="9" orientation="landscape" r:id="rId1"/>
  <ignoredErrors>
    <ignoredError sqref="C89:C94 C95:C96 C173 C174:C178" formulaRange="1"/>
    <ignoredError sqref="C113:C1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94"/>
  <sheetViews>
    <sheetView zoomScaleNormal="100" workbookViewId="0">
      <pane xSplit="2" ySplit="4" topLeftCell="C167" activePane="bottomRight" state="frozen"/>
      <selection pane="topRight"/>
      <selection pane="bottomLeft"/>
      <selection pane="bottomRight" sqref="A1:H1"/>
    </sheetView>
  </sheetViews>
  <sheetFormatPr defaultColWidth="9.1796875" defaultRowHeight="13"/>
  <cols>
    <col min="1" max="2" width="6.81640625" style="65" customWidth="1"/>
    <col min="3" max="10" width="12.81640625" style="65" customWidth="1"/>
    <col min="11" max="16384" width="9.1796875" style="65"/>
  </cols>
  <sheetData>
    <row r="1" spans="1:10">
      <c r="A1" s="716" t="s">
        <v>169</v>
      </c>
      <c r="B1" s="716"/>
      <c r="C1" s="716"/>
      <c r="D1" s="716"/>
      <c r="E1" s="716"/>
      <c r="F1" s="716"/>
      <c r="G1" s="716"/>
      <c r="H1" s="716"/>
    </row>
    <row r="2" spans="1:10">
      <c r="A2" s="750" t="s">
        <v>97</v>
      </c>
      <c r="B2" s="750"/>
      <c r="C2" s="750"/>
      <c r="D2" s="750"/>
      <c r="E2" s="750"/>
      <c r="F2" s="750"/>
      <c r="G2" s="750"/>
      <c r="H2" s="750"/>
      <c r="I2" s="750"/>
      <c r="J2" s="750"/>
    </row>
    <row r="3" spans="1:10" s="68" customFormat="1" ht="22.5" customHeight="1">
      <c r="A3" s="751" t="s">
        <v>98</v>
      </c>
      <c r="B3" s="751"/>
      <c r="C3" s="752" t="s">
        <v>170</v>
      </c>
      <c r="D3" s="749" t="s">
        <v>171</v>
      </c>
      <c r="E3" s="749" t="s">
        <v>3</v>
      </c>
      <c r="F3" s="749" t="s">
        <v>50</v>
      </c>
      <c r="G3" s="749" t="s">
        <v>88</v>
      </c>
      <c r="H3" s="749" t="s">
        <v>135</v>
      </c>
      <c r="I3" s="749" t="s">
        <v>172</v>
      </c>
      <c r="J3" s="749" t="s">
        <v>173</v>
      </c>
    </row>
    <row r="4" spans="1:10" s="68" customFormat="1" ht="22.5" customHeight="1">
      <c r="A4" s="751"/>
      <c r="B4" s="751"/>
      <c r="C4" s="752"/>
      <c r="D4" s="749"/>
      <c r="E4" s="749"/>
      <c r="F4" s="749"/>
      <c r="G4" s="749"/>
      <c r="H4" s="749"/>
      <c r="I4" s="749"/>
      <c r="J4" s="749"/>
    </row>
    <row r="5" spans="1:10" ht="14.5">
      <c r="A5" s="471">
        <v>2011</v>
      </c>
      <c r="B5" s="453" t="s">
        <v>105</v>
      </c>
      <c r="C5" s="172">
        <f>SUM(D5:J5)</f>
        <v>3764.94</v>
      </c>
      <c r="D5" s="136">
        <v>1000</v>
      </c>
      <c r="E5" s="136">
        <v>1002.21</v>
      </c>
      <c r="F5" s="136">
        <v>1182.6400000000001</v>
      </c>
      <c r="G5" s="136">
        <v>0</v>
      </c>
      <c r="H5" s="136">
        <v>0</v>
      </c>
      <c r="I5" s="155">
        <v>408.93</v>
      </c>
      <c r="J5" s="162">
        <v>171.16</v>
      </c>
    </row>
    <row r="6" spans="1:10" ht="14.5">
      <c r="A6" s="472"/>
      <c r="B6" s="450" t="s">
        <v>106</v>
      </c>
      <c r="C6" s="145">
        <f t="shared" ref="C6:C69" si="0">SUM(D6:J6)</f>
        <v>3770.62</v>
      </c>
      <c r="D6" s="139">
        <v>1000</v>
      </c>
      <c r="E6" s="139">
        <v>979.24</v>
      </c>
      <c r="F6" s="139">
        <v>1211.07</v>
      </c>
      <c r="G6" s="139">
        <v>0</v>
      </c>
      <c r="H6" s="139">
        <v>0</v>
      </c>
      <c r="I6" s="156">
        <v>407.77</v>
      </c>
      <c r="J6" s="163">
        <v>172.54</v>
      </c>
    </row>
    <row r="7" spans="1:10" ht="14.5">
      <c r="A7" s="472"/>
      <c r="B7" s="450" t="s">
        <v>107</v>
      </c>
      <c r="C7" s="145">
        <f t="shared" si="0"/>
        <v>3770.29</v>
      </c>
      <c r="D7" s="139">
        <v>1000</v>
      </c>
      <c r="E7" s="139">
        <v>949.85</v>
      </c>
      <c r="F7" s="139">
        <v>1238.1199999999999</v>
      </c>
      <c r="G7" s="139">
        <v>0</v>
      </c>
      <c r="H7" s="139">
        <v>0</v>
      </c>
      <c r="I7" s="156">
        <v>406.21</v>
      </c>
      <c r="J7" s="163">
        <v>176.11</v>
      </c>
    </row>
    <row r="8" spans="1:10" ht="14.5">
      <c r="A8" s="472"/>
      <c r="B8" s="450" t="s">
        <v>108</v>
      </c>
      <c r="C8" s="145">
        <f t="shared" si="0"/>
        <v>3779.16</v>
      </c>
      <c r="D8" s="139">
        <v>1000</v>
      </c>
      <c r="E8" s="139">
        <v>972.85</v>
      </c>
      <c r="F8" s="139">
        <v>1221.54</v>
      </c>
      <c r="G8" s="139">
        <v>0</v>
      </c>
      <c r="H8" s="139">
        <v>0</v>
      </c>
      <c r="I8" s="156">
        <v>404.98</v>
      </c>
      <c r="J8" s="163">
        <v>179.79</v>
      </c>
    </row>
    <row r="9" spans="1:10" ht="14.5">
      <c r="A9" s="472"/>
      <c r="B9" s="450" t="s">
        <v>109</v>
      </c>
      <c r="C9" s="145">
        <f t="shared" si="0"/>
        <v>3859.51</v>
      </c>
      <c r="D9" s="139">
        <v>1000</v>
      </c>
      <c r="E9" s="139">
        <v>971.09</v>
      </c>
      <c r="F9" s="139">
        <v>1306.3800000000001</v>
      </c>
      <c r="G9" s="139">
        <v>0</v>
      </c>
      <c r="H9" s="139">
        <v>0</v>
      </c>
      <c r="I9" s="156">
        <v>401.6</v>
      </c>
      <c r="J9" s="163">
        <v>180.44</v>
      </c>
    </row>
    <row r="10" spans="1:10" ht="14.5">
      <c r="A10" s="472"/>
      <c r="B10" s="450" t="s">
        <v>110</v>
      </c>
      <c r="C10" s="145">
        <f t="shared" si="0"/>
        <v>3832.69</v>
      </c>
      <c r="D10" s="139">
        <v>1000</v>
      </c>
      <c r="E10" s="139">
        <v>942.14</v>
      </c>
      <c r="F10" s="139">
        <v>1307.28</v>
      </c>
      <c r="G10" s="139">
        <v>0</v>
      </c>
      <c r="H10" s="139">
        <v>0</v>
      </c>
      <c r="I10" s="156">
        <v>400.35</v>
      </c>
      <c r="J10" s="163">
        <v>182.92</v>
      </c>
    </row>
    <row r="11" spans="1:10" ht="14.5">
      <c r="A11" s="472"/>
      <c r="B11" s="450" t="s">
        <v>111</v>
      </c>
      <c r="C11" s="145">
        <f t="shared" si="0"/>
        <v>3824.54</v>
      </c>
      <c r="D11" s="139">
        <v>1000</v>
      </c>
      <c r="E11" s="139">
        <v>953.03</v>
      </c>
      <c r="F11" s="139">
        <v>1289.45</v>
      </c>
      <c r="G11" s="139">
        <v>0</v>
      </c>
      <c r="H11" s="139">
        <v>0</v>
      </c>
      <c r="I11" s="156">
        <v>391.82</v>
      </c>
      <c r="J11" s="163">
        <v>190.24</v>
      </c>
    </row>
    <row r="12" spans="1:10" ht="14.5">
      <c r="A12" s="472"/>
      <c r="B12" s="450" t="s">
        <v>112</v>
      </c>
      <c r="C12" s="145">
        <f t="shared" si="0"/>
        <v>4034.25</v>
      </c>
      <c r="D12" s="139">
        <v>1000</v>
      </c>
      <c r="E12" s="139">
        <v>970.83</v>
      </c>
      <c r="F12" s="139">
        <v>1473.42</v>
      </c>
      <c r="G12" s="139">
        <v>0</v>
      </c>
      <c r="H12" s="139">
        <v>0</v>
      </c>
      <c r="I12" s="156">
        <v>394.52</v>
      </c>
      <c r="J12" s="163">
        <v>195.48</v>
      </c>
    </row>
    <row r="13" spans="1:10" ht="14.5">
      <c r="A13" s="472"/>
      <c r="B13" s="450" t="s">
        <v>113</v>
      </c>
      <c r="C13" s="145">
        <f t="shared" si="0"/>
        <v>4051.87</v>
      </c>
      <c r="D13" s="139">
        <v>1000</v>
      </c>
      <c r="E13" s="139">
        <v>915.2</v>
      </c>
      <c r="F13" s="139">
        <v>1534.04</v>
      </c>
      <c r="G13" s="139">
        <v>0</v>
      </c>
      <c r="H13" s="139">
        <v>0</v>
      </c>
      <c r="I13" s="156">
        <v>413.23</v>
      </c>
      <c r="J13" s="163">
        <v>189.4</v>
      </c>
    </row>
    <row r="14" spans="1:10" ht="14.5">
      <c r="A14" s="472"/>
      <c r="B14" s="450" t="s">
        <v>114</v>
      </c>
      <c r="C14" s="145">
        <f t="shared" si="0"/>
        <v>4062.11</v>
      </c>
      <c r="D14" s="139">
        <v>1000</v>
      </c>
      <c r="E14" s="139">
        <v>1002.47</v>
      </c>
      <c r="F14" s="139">
        <v>1461.05</v>
      </c>
      <c r="G14" s="139">
        <v>0</v>
      </c>
      <c r="H14" s="139">
        <v>0</v>
      </c>
      <c r="I14" s="156">
        <v>403.49</v>
      </c>
      <c r="J14" s="163">
        <v>195.1</v>
      </c>
    </row>
    <row r="15" spans="1:10" ht="14.5">
      <c r="A15" s="472"/>
      <c r="B15" s="450" t="s">
        <v>115</v>
      </c>
      <c r="C15" s="145">
        <f t="shared" si="0"/>
        <v>4152.01</v>
      </c>
      <c r="D15" s="139">
        <v>1000</v>
      </c>
      <c r="E15" s="139">
        <v>1003.65</v>
      </c>
      <c r="F15" s="139">
        <v>1537.24</v>
      </c>
      <c r="G15" s="139">
        <v>0</v>
      </c>
      <c r="H15" s="139">
        <v>0</v>
      </c>
      <c r="I15" s="156">
        <v>409.08</v>
      </c>
      <c r="J15" s="163">
        <v>202.04</v>
      </c>
    </row>
    <row r="16" spans="1:10" ht="14.5">
      <c r="A16" s="473"/>
      <c r="B16" s="452" t="s">
        <v>116</v>
      </c>
      <c r="C16" s="147">
        <f t="shared" si="0"/>
        <v>4730.57</v>
      </c>
      <c r="D16" s="142">
        <v>1000</v>
      </c>
      <c r="E16" s="142">
        <v>1689.99</v>
      </c>
      <c r="F16" s="142">
        <v>1452</v>
      </c>
      <c r="G16" s="142">
        <v>0</v>
      </c>
      <c r="H16" s="142">
        <v>0</v>
      </c>
      <c r="I16" s="157">
        <v>406.38</v>
      </c>
      <c r="J16" s="158">
        <v>182.2</v>
      </c>
    </row>
    <row r="17" spans="1:10" ht="14.5">
      <c r="A17" s="472">
        <v>2012</v>
      </c>
      <c r="B17" s="450" t="s">
        <v>105</v>
      </c>
      <c r="C17" s="145">
        <f t="shared" si="0"/>
        <v>4018.99</v>
      </c>
      <c r="D17" s="139">
        <v>1000</v>
      </c>
      <c r="E17" s="139">
        <v>997.84</v>
      </c>
      <c r="F17" s="139">
        <v>1438.86</v>
      </c>
      <c r="G17" s="139">
        <v>0</v>
      </c>
      <c r="H17" s="139">
        <v>0</v>
      </c>
      <c r="I17" s="156">
        <v>396.05</v>
      </c>
      <c r="J17" s="163">
        <v>186.24</v>
      </c>
    </row>
    <row r="18" spans="1:10" ht="14.5">
      <c r="A18" s="472"/>
      <c r="B18" s="450" t="s">
        <v>106</v>
      </c>
      <c r="C18" s="145">
        <f t="shared" si="0"/>
        <v>4152.45</v>
      </c>
      <c r="D18" s="139">
        <v>1000</v>
      </c>
      <c r="E18" s="139">
        <v>1125.7</v>
      </c>
      <c r="F18" s="139">
        <v>1441.36</v>
      </c>
      <c r="G18" s="139">
        <v>0</v>
      </c>
      <c r="H18" s="139">
        <v>0</v>
      </c>
      <c r="I18" s="156">
        <v>395</v>
      </c>
      <c r="J18" s="163">
        <v>190.39</v>
      </c>
    </row>
    <row r="19" spans="1:10" ht="14.5">
      <c r="A19" s="472"/>
      <c r="B19" s="450" t="s">
        <v>107</v>
      </c>
      <c r="C19" s="145">
        <f t="shared" si="0"/>
        <v>4371.0599999999995</v>
      </c>
      <c r="D19" s="139">
        <v>1000</v>
      </c>
      <c r="E19" s="139">
        <v>1238.8499999999999</v>
      </c>
      <c r="F19" s="139">
        <v>1546.59</v>
      </c>
      <c r="G19" s="139">
        <v>0</v>
      </c>
      <c r="H19" s="139">
        <v>0</v>
      </c>
      <c r="I19" s="156">
        <v>396.33</v>
      </c>
      <c r="J19" s="163">
        <v>189.29</v>
      </c>
    </row>
    <row r="20" spans="1:10" ht="14.5">
      <c r="A20" s="472"/>
      <c r="B20" s="450" t="s">
        <v>108</v>
      </c>
      <c r="C20" s="145">
        <f t="shared" si="0"/>
        <v>5357.46</v>
      </c>
      <c r="D20" s="139">
        <v>1000</v>
      </c>
      <c r="E20" s="139">
        <v>2346.59</v>
      </c>
      <c r="F20" s="139">
        <v>1431</v>
      </c>
      <c r="G20" s="139">
        <v>0</v>
      </c>
      <c r="H20" s="139">
        <v>0</v>
      </c>
      <c r="I20" s="156">
        <v>390.39</v>
      </c>
      <c r="J20" s="163">
        <v>189.48</v>
      </c>
    </row>
    <row r="21" spans="1:10" ht="14.5">
      <c r="A21" s="472"/>
      <c r="B21" s="450" t="s">
        <v>109</v>
      </c>
      <c r="C21" s="145">
        <f t="shared" si="0"/>
        <v>5102.22</v>
      </c>
      <c r="D21" s="139">
        <v>1000</v>
      </c>
      <c r="E21" s="139">
        <v>2062.0100000000002</v>
      </c>
      <c r="F21" s="139">
        <v>1452.01</v>
      </c>
      <c r="G21" s="139">
        <v>0</v>
      </c>
      <c r="H21" s="139">
        <v>0</v>
      </c>
      <c r="I21" s="156">
        <v>395.92</v>
      </c>
      <c r="J21" s="163">
        <v>192.28</v>
      </c>
    </row>
    <row r="22" spans="1:10" ht="14.5">
      <c r="A22" s="472"/>
      <c r="B22" s="450" t="s">
        <v>110</v>
      </c>
      <c r="C22" s="145">
        <f t="shared" si="0"/>
        <v>5137.79</v>
      </c>
      <c r="D22" s="139">
        <v>1000</v>
      </c>
      <c r="E22" s="139">
        <v>2125.17</v>
      </c>
      <c r="F22" s="139">
        <v>1427.48</v>
      </c>
      <c r="G22" s="139">
        <v>0</v>
      </c>
      <c r="H22" s="139">
        <v>0</v>
      </c>
      <c r="I22" s="156">
        <v>393.35</v>
      </c>
      <c r="J22" s="163">
        <v>191.79</v>
      </c>
    </row>
    <row r="23" spans="1:10" ht="14.5">
      <c r="A23" s="472"/>
      <c r="B23" s="450" t="s">
        <v>111</v>
      </c>
      <c r="C23" s="145">
        <f t="shared" si="0"/>
        <v>5050.82</v>
      </c>
      <c r="D23" s="139">
        <v>1000</v>
      </c>
      <c r="E23" s="139">
        <v>2109.14</v>
      </c>
      <c r="F23" s="139">
        <v>1363.09</v>
      </c>
      <c r="G23" s="139">
        <v>0</v>
      </c>
      <c r="H23" s="139">
        <v>0</v>
      </c>
      <c r="I23" s="156">
        <v>382.28</v>
      </c>
      <c r="J23" s="163">
        <v>196.31</v>
      </c>
    </row>
    <row r="24" spans="1:10" ht="14.5">
      <c r="A24" s="472"/>
      <c r="B24" s="450" t="s">
        <v>112</v>
      </c>
      <c r="C24" s="145">
        <f t="shared" si="0"/>
        <v>4855.7000000000007</v>
      </c>
      <c r="D24" s="139">
        <v>1000</v>
      </c>
      <c r="E24" s="139">
        <v>1848.68</v>
      </c>
      <c r="F24" s="139">
        <v>1418.54</v>
      </c>
      <c r="G24" s="139">
        <v>0</v>
      </c>
      <c r="H24" s="139">
        <v>0</v>
      </c>
      <c r="I24" s="156">
        <v>387.88</v>
      </c>
      <c r="J24" s="163">
        <v>200.6</v>
      </c>
    </row>
    <row r="25" spans="1:10" ht="14.5">
      <c r="A25" s="472"/>
      <c r="B25" s="450" t="s">
        <v>113</v>
      </c>
      <c r="C25" s="145">
        <f t="shared" si="0"/>
        <v>4630.0599999999995</v>
      </c>
      <c r="D25" s="139">
        <v>1000</v>
      </c>
      <c r="E25" s="139">
        <v>1623.72</v>
      </c>
      <c r="F25" s="139">
        <v>1421.61</v>
      </c>
      <c r="G25" s="139">
        <v>0</v>
      </c>
      <c r="H25" s="139">
        <v>0</v>
      </c>
      <c r="I25" s="156">
        <v>384.58</v>
      </c>
      <c r="J25" s="163">
        <v>200.15</v>
      </c>
    </row>
    <row r="26" spans="1:10" ht="14.5">
      <c r="A26" s="472"/>
      <c r="B26" s="450" t="s">
        <v>114</v>
      </c>
      <c r="C26" s="145">
        <f t="shared" si="0"/>
        <v>5195.2800000000007</v>
      </c>
      <c r="D26" s="139">
        <v>1000</v>
      </c>
      <c r="E26" s="139">
        <v>1610.39</v>
      </c>
      <c r="F26" s="139">
        <v>1999.36</v>
      </c>
      <c r="G26" s="139">
        <v>0</v>
      </c>
      <c r="H26" s="139">
        <v>0</v>
      </c>
      <c r="I26" s="156">
        <v>382.64</v>
      </c>
      <c r="J26" s="163">
        <v>202.89</v>
      </c>
    </row>
    <row r="27" spans="1:10" ht="14.5">
      <c r="A27" s="472"/>
      <c r="B27" s="450" t="s">
        <v>115</v>
      </c>
      <c r="C27" s="145">
        <f t="shared" si="0"/>
        <v>4705.5</v>
      </c>
      <c r="D27" s="139">
        <v>1000</v>
      </c>
      <c r="E27" s="139">
        <v>1499.2</v>
      </c>
      <c r="F27" s="139">
        <v>1619.74</v>
      </c>
      <c r="G27" s="139">
        <v>0</v>
      </c>
      <c r="H27" s="139">
        <v>0</v>
      </c>
      <c r="I27" s="156">
        <v>381.34</v>
      </c>
      <c r="J27" s="163">
        <v>205.22</v>
      </c>
    </row>
    <row r="28" spans="1:10" ht="14.5">
      <c r="A28" s="473"/>
      <c r="B28" s="452" t="s">
        <v>116</v>
      </c>
      <c r="C28" s="147">
        <f t="shared" si="0"/>
        <v>4931.1499999999996</v>
      </c>
      <c r="D28" s="142">
        <v>1000</v>
      </c>
      <c r="E28" s="142">
        <v>1627.05</v>
      </c>
      <c r="F28" s="142">
        <v>1709.69</v>
      </c>
      <c r="G28" s="142">
        <v>0</v>
      </c>
      <c r="H28" s="142">
        <v>0</v>
      </c>
      <c r="I28" s="157">
        <v>382.67</v>
      </c>
      <c r="J28" s="158">
        <v>211.74</v>
      </c>
    </row>
    <row r="29" spans="1:10" ht="14.5">
      <c r="A29" s="472">
        <v>2013</v>
      </c>
      <c r="B29" s="450" t="s">
        <v>105</v>
      </c>
      <c r="C29" s="145">
        <f t="shared" si="0"/>
        <v>5395.75</v>
      </c>
      <c r="D29" s="139">
        <v>1000</v>
      </c>
      <c r="E29" s="139">
        <v>1621.21</v>
      </c>
      <c r="F29" s="139">
        <v>2177.35</v>
      </c>
      <c r="G29" s="139">
        <v>0</v>
      </c>
      <c r="H29" s="139">
        <v>0</v>
      </c>
      <c r="I29" s="156">
        <v>388.6</v>
      </c>
      <c r="J29" s="163">
        <v>208.59</v>
      </c>
    </row>
    <row r="30" spans="1:10" ht="14.5">
      <c r="A30" s="472"/>
      <c r="B30" s="450" t="s">
        <v>106</v>
      </c>
      <c r="C30" s="145">
        <f t="shared" si="0"/>
        <v>5065.8099999999995</v>
      </c>
      <c r="D30" s="139">
        <v>1000</v>
      </c>
      <c r="E30" s="139">
        <v>1127.83</v>
      </c>
      <c r="F30" s="139">
        <v>2348.6999999999998</v>
      </c>
      <c r="G30" s="139">
        <v>0</v>
      </c>
      <c r="H30" s="139">
        <v>0</v>
      </c>
      <c r="I30" s="156">
        <v>381.12</v>
      </c>
      <c r="J30" s="163">
        <v>208.16</v>
      </c>
    </row>
    <row r="31" spans="1:10" ht="14.5">
      <c r="A31" s="472"/>
      <c r="B31" s="450" t="s">
        <v>107</v>
      </c>
      <c r="C31" s="145">
        <f t="shared" si="0"/>
        <v>5291.37</v>
      </c>
      <c r="D31" s="139">
        <v>1000</v>
      </c>
      <c r="E31" s="139">
        <v>1129.06</v>
      </c>
      <c r="F31" s="139">
        <v>2574.0300000000002</v>
      </c>
      <c r="G31" s="139">
        <v>0</v>
      </c>
      <c r="H31" s="139">
        <v>0</v>
      </c>
      <c r="I31" s="156">
        <v>379.11</v>
      </c>
      <c r="J31" s="163">
        <v>209.17</v>
      </c>
    </row>
    <row r="32" spans="1:10" ht="14.5">
      <c r="A32" s="472"/>
      <c r="B32" s="450" t="s">
        <v>108</v>
      </c>
      <c r="C32" s="145">
        <f t="shared" si="0"/>
        <v>5245.8300000000008</v>
      </c>
      <c r="D32" s="139">
        <v>1000</v>
      </c>
      <c r="E32" s="139">
        <v>1129.77</v>
      </c>
      <c r="F32" s="139">
        <v>2518.25</v>
      </c>
      <c r="G32" s="139">
        <v>0</v>
      </c>
      <c r="H32" s="139">
        <v>0</v>
      </c>
      <c r="I32" s="156">
        <v>379.01</v>
      </c>
      <c r="J32" s="163">
        <v>218.8</v>
      </c>
    </row>
    <row r="33" spans="1:10" ht="14.5">
      <c r="A33" s="472"/>
      <c r="B33" s="450" t="s">
        <v>109</v>
      </c>
      <c r="C33" s="145">
        <f t="shared" si="0"/>
        <v>4983.7699999999995</v>
      </c>
      <c r="D33" s="139">
        <v>1000</v>
      </c>
      <c r="E33" s="139">
        <v>1146.26</v>
      </c>
      <c r="F33" s="139">
        <v>2249.2199999999998</v>
      </c>
      <c r="G33" s="139">
        <v>0</v>
      </c>
      <c r="H33" s="139">
        <v>0</v>
      </c>
      <c r="I33" s="156">
        <v>384.7</v>
      </c>
      <c r="J33" s="163">
        <v>203.59</v>
      </c>
    </row>
    <row r="34" spans="1:10" ht="14.5">
      <c r="A34" s="472"/>
      <c r="B34" s="450" t="s">
        <v>110</v>
      </c>
      <c r="C34" s="145">
        <f t="shared" si="0"/>
        <v>5015.0200000000004</v>
      </c>
      <c r="D34" s="139">
        <v>1000</v>
      </c>
      <c r="E34" s="139">
        <v>1140.3900000000001</v>
      </c>
      <c r="F34" s="139">
        <v>2299.08</v>
      </c>
      <c r="G34" s="139">
        <v>0</v>
      </c>
      <c r="H34" s="139">
        <v>0</v>
      </c>
      <c r="I34" s="156">
        <v>387.23</v>
      </c>
      <c r="J34" s="163">
        <v>188.32</v>
      </c>
    </row>
    <row r="35" spans="1:10" ht="14.5">
      <c r="A35" s="472"/>
      <c r="B35" s="450" t="s">
        <v>117</v>
      </c>
      <c r="C35" s="145">
        <f t="shared" si="0"/>
        <v>4937.7899999999991</v>
      </c>
      <c r="D35" s="139">
        <v>1000</v>
      </c>
      <c r="E35" s="139">
        <v>1161.6199999999999</v>
      </c>
      <c r="F35" s="139">
        <v>2195.4899999999998</v>
      </c>
      <c r="G35" s="139">
        <v>0</v>
      </c>
      <c r="H35" s="139">
        <v>0</v>
      </c>
      <c r="I35" s="156">
        <v>392.27</v>
      </c>
      <c r="J35" s="163">
        <v>188.41</v>
      </c>
    </row>
    <row r="36" spans="1:10" ht="14.5">
      <c r="A36" s="472"/>
      <c r="B36" s="450" t="s">
        <v>112</v>
      </c>
      <c r="C36" s="145">
        <f t="shared" si="0"/>
        <v>4925.7199999999993</v>
      </c>
      <c r="D36" s="139">
        <v>1000</v>
      </c>
      <c r="E36" s="139">
        <v>1093.46</v>
      </c>
      <c r="F36" s="139">
        <v>2254.94</v>
      </c>
      <c r="G36" s="139">
        <v>0</v>
      </c>
      <c r="H36" s="139">
        <v>0</v>
      </c>
      <c r="I36" s="156">
        <v>393.38</v>
      </c>
      <c r="J36" s="163">
        <v>183.94</v>
      </c>
    </row>
    <row r="37" spans="1:10" ht="14.5">
      <c r="A37" s="472"/>
      <c r="B37" s="450" t="s">
        <v>113</v>
      </c>
      <c r="C37" s="145">
        <f t="shared" si="0"/>
        <v>5001.46</v>
      </c>
      <c r="D37" s="139">
        <v>1000</v>
      </c>
      <c r="E37" s="139">
        <v>1095.92</v>
      </c>
      <c r="F37" s="139">
        <v>2316.4899999999998</v>
      </c>
      <c r="G37" s="139">
        <v>0</v>
      </c>
      <c r="H37" s="139">
        <v>0</v>
      </c>
      <c r="I37" s="156">
        <v>392.49</v>
      </c>
      <c r="J37" s="163">
        <v>196.56</v>
      </c>
    </row>
    <row r="38" spans="1:10" ht="14.5">
      <c r="A38" s="472"/>
      <c r="B38" s="450" t="s">
        <v>114</v>
      </c>
      <c r="C38" s="145">
        <f t="shared" si="0"/>
        <v>5247.16</v>
      </c>
      <c r="D38" s="139">
        <v>1000</v>
      </c>
      <c r="E38" s="139">
        <v>1090.96</v>
      </c>
      <c r="F38" s="139">
        <v>2584.3200000000002</v>
      </c>
      <c r="G38" s="139">
        <v>0</v>
      </c>
      <c r="H38" s="139">
        <v>0</v>
      </c>
      <c r="I38" s="156">
        <v>389.44</v>
      </c>
      <c r="J38" s="163">
        <v>182.44</v>
      </c>
    </row>
    <row r="39" spans="1:10" ht="14.5">
      <c r="A39" s="472"/>
      <c r="B39" s="450" t="s">
        <v>115</v>
      </c>
      <c r="C39" s="145">
        <f t="shared" si="0"/>
        <v>4942.3899999999994</v>
      </c>
      <c r="D39" s="139">
        <v>1000</v>
      </c>
      <c r="E39" s="139">
        <v>1106.08</v>
      </c>
      <c r="F39" s="139">
        <v>2267.88</v>
      </c>
      <c r="G39" s="139">
        <v>0</v>
      </c>
      <c r="H39" s="139">
        <v>0</v>
      </c>
      <c r="I39" s="156">
        <v>391.27</v>
      </c>
      <c r="J39" s="163">
        <v>177.16</v>
      </c>
    </row>
    <row r="40" spans="1:10" ht="14.5">
      <c r="A40" s="473"/>
      <c r="B40" s="452" t="s">
        <v>116</v>
      </c>
      <c r="C40" s="147">
        <f t="shared" si="0"/>
        <v>4947.4000000000005</v>
      </c>
      <c r="D40" s="142">
        <v>1000</v>
      </c>
      <c r="E40" s="142">
        <v>1219.73</v>
      </c>
      <c r="F40" s="142">
        <v>2218.11</v>
      </c>
      <c r="G40" s="142">
        <v>0</v>
      </c>
      <c r="H40" s="142">
        <v>0</v>
      </c>
      <c r="I40" s="157">
        <v>397.79</v>
      </c>
      <c r="J40" s="158">
        <v>111.77</v>
      </c>
    </row>
    <row r="41" spans="1:10" ht="14.5">
      <c r="A41" s="472">
        <v>2014</v>
      </c>
      <c r="B41" s="450" t="s">
        <v>105</v>
      </c>
      <c r="C41" s="145">
        <f t="shared" si="0"/>
        <v>5101.91</v>
      </c>
      <c r="D41" s="139">
        <v>1000</v>
      </c>
      <c r="E41" s="139">
        <v>1183.1199999999999</v>
      </c>
      <c r="F41" s="139">
        <v>2406.27</v>
      </c>
      <c r="G41" s="139">
        <v>0</v>
      </c>
      <c r="H41" s="139">
        <v>0</v>
      </c>
      <c r="I41" s="156">
        <v>398.89</v>
      </c>
      <c r="J41" s="163">
        <v>113.63</v>
      </c>
    </row>
    <row r="42" spans="1:10" ht="14.5">
      <c r="A42" s="472"/>
      <c r="B42" s="450" t="s">
        <v>106</v>
      </c>
      <c r="C42" s="145">
        <f t="shared" si="0"/>
        <v>4877.9699999999993</v>
      </c>
      <c r="D42" s="139">
        <v>1000</v>
      </c>
      <c r="E42" s="139">
        <v>1169.69</v>
      </c>
      <c r="F42" s="139">
        <v>2190.29</v>
      </c>
      <c r="G42" s="139">
        <v>0</v>
      </c>
      <c r="H42" s="139">
        <v>0</v>
      </c>
      <c r="I42" s="156">
        <v>399.04</v>
      </c>
      <c r="J42" s="163">
        <v>118.95</v>
      </c>
    </row>
    <row r="43" spans="1:10" ht="14.5">
      <c r="A43" s="472"/>
      <c r="B43" s="450" t="s">
        <v>107</v>
      </c>
      <c r="C43" s="145">
        <f t="shared" si="0"/>
        <v>4633.2999999999993</v>
      </c>
      <c r="D43" s="139">
        <v>1000</v>
      </c>
      <c r="E43" s="139">
        <v>1165.98</v>
      </c>
      <c r="F43" s="139">
        <v>1954.85</v>
      </c>
      <c r="G43" s="139">
        <v>0</v>
      </c>
      <c r="H43" s="139">
        <v>0</v>
      </c>
      <c r="I43" s="156">
        <v>396.48</v>
      </c>
      <c r="J43" s="163">
        <v>115.99</v>
      </c>
    </row>
    <row r="44" spans="1:10" ht="14.5">
      <c r="A44" s="472"/>
      <c r="B44" s="450" t="s">
        <v>108</v>
      </c>
      <c r="C44" s="145">
        <f t="shared" si="0"/>
        <v>4783.0100000000011</v>
      </c>
      <c r="D44" s="139">
        <v>1000</v>
      </c>
      <c r="E44" s="139">
        <v>1145.43</v>
      </c>
      <c r="F44" s="139">
        <v>2122.0500000000002</v>
      </c>
      <c r="G44" s="139">
        <v>0</v>
      </c>
      <c r="H44" s="139">
        <v>0</v>
      </c>
      <c r="I44" s="156">
        <v>396.26</v>
      </c>
      <c r="J44" s="163">
        <v>119.27</v>
      </c>
    </row>
    <row r="45" spans="1:10" ht="14.5">
      <c r="A45" s="472"/>
      <c r="B45" s="450" t="s">
        <v>109</v>
      </c>
      <c r="C45" s="145">
        <f t="shared" si="0"/>
        <v>4610.9399999999996</v>
      </c>
      <c r="D45" s="139">
        <v>1000</v>
      </c>
      <c r="E45" s="139">
        <v>1156.6099999999999</v>
      </c>
      <c r="F45" s="139">
        <v>1932.97</v>
      </c>
      <c r="G45" s="139">
        <v>0</v>
      </c>
      <c r="H45" s="139">
        <v>0</v>
      </c>
      <c r="I45" s="156">
        <v>393.37</v>
      </c>
      <c r="J45" s="163">
        <v>127.99</v>
      </c>
    </row>
    <row r="46" spans="1:10" ht="14.5">
      <c r="A46" s="472"/>
      <c r="B46" s="450" t="s">
        <v>110</v>
      </c>
      <c r="C46" s="145">
        <f t="shared" si="0"/>
        <v>4738.9800000000005</v>
      </c>
      <c r="D46" s="139">
        <v>1000</v>
      </c>
      <c r="E46" s="139">
        <v>1202.1199999999999</v>
      </c>
      <c r="F46" s="139">
        <v>2015.54</v>
      </c>
      <c r="G46" s="139">
        <v>0</v>
      </c>
      <c r="H46" s="139">
        <v>0</v>
      </c>
      <c r="I46" s="156">
        <v>392.93</v>
      </c>
      <c r="J46" s="163">
        <v>128.38999999999999</v>
      </c>
    </row>
    <row r="47" spans="1:10" ht="14.5">
      <c r="A47" s="472"/>
      <c r="B47" s="450" t="s">
        <v>117</v>
      </c>
      <c r="C47" s="145">
        <f t="shared" si="0"/>
        <v>4837.88</v>
      </c>
      <c r="D47" s="139">
        <v>1000</v>
      </c>
      <c r="E47" s="139">
        <v>1245.45</v>
      </c>
      <c r="F47" s="139">
        <v>2075.64</v>
      </c>
      <c r="G47" s="139">
        <v>0</v>
      </c>
      <c r="H47" s="139">
        <v>0</v>
      </c>
      <c r="I47" s="156">
        <v>388.03</v>
      </c>
      <c r="J47" s="163">
        <v>128.76</v>
      </c>
    </row>
    <row r="48" spans="1:10" ht="14.5">
      <c r="A48" s="472"/>
      <c r="B48" s="450" t="s">
        <v>112</v>
      </c>
      <c r="C48" s="159">
        <f t="shared" si="0"/>
        <v>4966.75</v>
      </c>
      <c r="D48" s="150">
        <v>1000</v>
      </c>
      <c r="E48" s="150">
        <v>1165.5</v>
      </c>
      <c r="F48" s="150">
        <v>2278.1</v>
      </c>
      <c r="G48" s="150">
        <v>0</v>
      </c>
      <c r="H48" s="150">
        <v>0</v>
      </c>
      <c r="I48" s="160">
        <v>386</v>
      </c>
      <c r="J48" s="625">
        <v>137.15</v>
      </c>
    </row>
    <row r="49" spans="1:10" ht="14.5">
      <c r="A49" s="472"/>
      <c r="B49" s="450" t="s">
        <v>113</v>
      </c>
      <c r="C49" s="159">
        <f t="shared" si="0"/>
        <v>5048.6499999999996</v>
      </c>
      <c r="D49" s="150">
        <v>1000</v>
      </c>
      <c r="E49" s="150">
        <v>1186.72</v>
      </c>
      <c r="F49" s="150">
        <v>2348.1999999999998</v>
      </c>
      <c r="G49" s="150">
        <v>0</v>
      </c>
      <c r="H49" s="149">
        <v>0</v>
      </c>
      <c r="I49" s="160">
        <v>386</v>
      </c>
      <c r="J49" s="625">
        <v>127.73</v>
      </c>
    </row>
    <row r="50" spans="1:10" ht="14.5">
      <c r="A50" s="472"/>
      <c r="B50" s="450" t="s">
        <v>114</v>
      </c>
      <c r="C50" s="145">
        <f t="shared" si="0"/>
        <v>4699.03</v>
      </c>
      <c r="D50" s="139">
        <v>1000</v>
      </c>
      <c r="E50" s="139">
        <v>1155.6500000000001</v>
      </c>
      <c r="F50" s="139">
        <v>2027.89</v>
      </c>
      <c r="G50" s="139">
        <v>0</v>
      </c>
      <c r="H50" s="146">
        <v>0</v>
      </c>
      <c r="I50" s="156">
        <v>384.45</v>
      </c>
      <c r="J50" s="163">
        <v>131.04</v>
      </c>
    </row>
    <row r="51" spans="1:10" ht="14.5">
      <c r="A51" s="472"/>
      <c r="B51" s="450" t="s">
        <v>115</v>
      </c>
      <c r="C51" s="145">
        <f t="shared" si="0"/>
        <v>4704.4400000000005</v>
      </c>
      <c r="D51" s="139">
        <v>1000</v>
      </c>
      <c r="E51" s="139">
        <v>1148.3900000000001</v>
      </c>
      <c r="F51" s="139">
        <v>2029.26</v>
      </c>
      <c r="G51" s="139">
        <v>0</v>
      </c>
      <c r="H51" s="146">
        <v>0</v>
      </c>
      <c r="I51" s="156">
        <v>387.46</v>
      </c>
      <c r="J51" s="163">
        <v>139.33000000000001</v>
      </c>
    </row>
    <row r="52" spans="1:10" ht="14.5">
      <c r="A52" s="473"/>
      <c r="B52" s="452" t="s">
        <v>116</v>
      </c>
      <c r="C52" s="147">
        <f t="shared" si="0"/>
        <v>5240.6000000000004</v>
      </c>
      <c r="D52" s="142">
        <v>1000</v>
      </c>
      <c r="E52" s="142">
        <v>1271.71</v>
      </c>
      <c r="F52" s="142">
        <v>2430.9</v>
      </c>
      <c r="G52" s="142">
        <v>0</v>
      </c>
      <c r="H52" s="148">
        <v>0</v>
      </c>
      <c r="I52" s="157">
        <v>389.57</v>
      </c>
      <c r="J52" s="158">
        <v>148.41999999999999</v>
      </c>
    </row>
    <row r="53" spans="1:10" ht="14.5">
      <c r="A53" s="472">
        <v>2015</v>
      </c>
      <c r="B53" s="450" t="s">
        <v>105</v>
      </c>
      <c r="C53" s="145">
        <f t="shared" si="0"/>
        <v>5026.4299999999994</v>
      </c>
      <c r="D53" s="139">
        <v>1000</v>
      </c>
      <c r="E53" s="139">
        <v>1183.99</v>
      </c>
      <c r="F53" s="139">
        <v>2277.91</v>
      </c>
      <c r="G53" s="139">
        <v>0</v>
      </c>
      <c r="H53" s="146">
        <v>0</v>
      </c>
      <c r="I53" s="156">
        <v>389.57</v>
      </c>
      <c r="J53" s="163">
        <v>174.96</v>
      </c>
    </row>
    <row r="54" spans="1:10" ht="14.5">
      <c r="A54" s="472"/>
      <c r="B54" s="450" t="s">
        <v>106</v>
      </c>
      <c r="C54" s="145">
        <f t="shared" si="0"/>
        <v>5034.12</v>
      </c>
      <c r="D54" s="139">
        <v>1000</v>
      </c>
      <c r="E54" s="139">
        <v>1228.76</v>
      </c>
      <c r="F54" s="139">
        <v>2258.5700000000002</v>
      </c>
      <c r="G54" s="139">
        <v>0</v>
      </c>
      <c r="H54" s="139">
        <v>0</v>
      </c>
      <c r="I54" s="156">
        <v>389.57</v>
      </c>
      <c r="J54" s="163">
        <v>157.22</v>
      </c>
    </row>
    <row r="55" spans="1:10" ht="14.5">
      <c r="A55" s="472"/>
      <c r="B55" s="450" t="s">
        <v>107</v>
      </c>
      <c r="C55" s="145">
        <f t="shared" si="0"/>
        <v>5444.1399999999994</v>
      </c>
      <c r="D55" s="139">
        <v>1000</v>
      </c>
      <c r="E55" s="139">
        <v>1204.8599999999999</v>
      </c>
      <c r="F55" s="139">
        <v>2692.37</v>
      </c>
      <c r="G55" s="139">
        <v>0</v>
      </c>
      <c r="H55" s="146">
        <v>0</v>
      </c>
      <c r="I55" s="156">
        <v>389.57</v>
      </c>
      <c r="J55" s="163">
        <v>157.34</v>
      </c>
    </row>
    <row r="56" spans="1:10" ht="14.5">
      <c r="A56" s="472"/>
      <c r="B56" s="450" t="s">
        <v>108</v>
      </c>
      <c r="C56" s="145">
        <f t="shared" si="0"/>
        <v>5135.01</v>
      </c>
      <c r="D56" s="139">
        <v>1000</v>
      </c>
      <c r="E56" s="139">
        <v>1193.3800000000001</v>
      </c>
      <c r="F56" s="139">
        <v>2387.7199999999998</v>
      </c>
      <c r="G56" s="139">
        <v>0</v>
      </c>
      <c r="H56" s="146">
        <v>0</v>
      </c>
      <c r="I56" s="156">
        <v>389.57</v>
      </c>
      <c r="J56" s="163">
        <v>164.34</v>
      </c>
    </row>
    <row r="57" spans="1:10" ht="14.5">
      <c r="A57" s="472"/>
      <c r="B57" s="450" t="s">
        <v>109</v>
      </c>
      <c r="C57" s="145">
        <f t="shared" si="0"/>
        <v>4889.1399999999994</v>
      </c>
      <c r="D57" s="139">
        <v>1000</v>
      </c>
      <c r="E57" s="139">
        <v>1225.27</v>
      </c>
      <c r="F57" s="139">
        <v>2129.31</v>
      </c>
      <c r="G57" s="139">
        <v>0</v>
      </c>
      <c r="H57" s="146">
        <v>0</v>
      </c>
      <c r="I57" s="156">
        <v>389.57</v>
      </c>
      <c r="J57" s="163">
        <v>144.99</v>
      </c>
    </row>
    <row r="58" spans="1:10" ht="14.5">
      <c r="A58" s="472"/>
      <c r="B58" s="450" t="s">
        <v>110</v>
      </c>
      <c r="C58" s="145">
        <f t="shared" si="0"/>
        <v>5036.9100000000008</v>
      </c>
      <c r="D58" s="139">
        <v>1000</v>
      </c>
      <c r="E58" s="139">
        <v>1234.6500000000001</v>
      </c>
      <c r="F58" s="139">
        <v>2275.88</v>
      </c>
      <c r="G58" s="139">
        <v>0</v>
      </c>
      <c r="H58" s="139">
        <v>0</v>
      </c>
      <c r="I58" s="156">
        <v>389.57</v>
      </c>
      <c r="J58" s="163">
        <v>136.81</v>
      </c>
    </row>
    <row r="59" spans="1:10" ht="14.5">
      <c r="A59" s="472"/>
      <c r="B59" s="450" t="s">
        <v>117</v>
      </c>
      <c r="C59" s="145">
        <f t="shared" si="0"/>
        <v>4841.38</v>
      </c>
      <c r="D59" s="139">
        <v>1000</v>
      </c>
      <c r="E59" s="139">
        <v>1214.4000000000001</v>
      </c>
      <c r="F59" s="139">
        <v>2101.6</v>
      </c>
      <c r="G59" s="139">
        <v>0</v>
      </c>
      <c r="H59" s="139">
        <v>0</v>
      </c>
      <c r="I59" s="156">
        <v>389.57</v>
      </c>
      <c r="J59" s="163">
        <v>135.81</v>
      </c>
    </row>
    <row r="60" spans="1:10" ht="14.5">
      <c r="A60" s="472"/>
      <c r="B60" s="450" t="s">
        <v>112</v>
      </c>
      <c r="C60" s="145">
        <f t="shared" si="0"/>
        <v>4826.2900000000009</v>
      </c>
      <c r="D60" s="139">
        <v>1000</v>
      </c>
      <c r="E60" s="139">
        <v>1203.97</v>
      </c>
      <c r="F60" s="139">
        <v>2112.23</v>
      </c>
      <c r="G60" s="139">
        <v>0</v>
      </c>
      <c r="H60" s="139">
        <v>0</v>
      </c>
      <c r="I60" s="156">
        <v>389.57</v>
      </c>
      <c r="J60" s="163">
        <v>120.52</v>
      </c>
    </row>
    <row r="61" spans="1:10" ht="14.5">
      <c r="A61" s="472"/>
      <c r="B61" s="450" t="s">
        <v>113</v>
      </c>
      <c r="C61" s="145">
        <f t="shared" si="0"/>
        <v>5649.5300000000007</v>
      </c>
      <c r="D61" s="139">
        <v>1000</v>
      </c>
      <c r="E61" s="139">
        <v>1193.3699999999999</v>
      </c>
      <c r="F61" s="139">
        <v>2913.71</v>
      </c>
      <c r="G61" s="139">
        <v>0</v>
      </c>
      <c r="H61" s="139">
        <v>0</v>
      </c>
      <c r="I61" s="156">
        <v>403.81</v>
      </c>
      <c r="J61" s="163">
        <v>138.63999999999999</v>
      </c>
    </row>
    <row r="62" spans="1:10" ht="14.5">
      <c r="A62" s="472"/>
      <c r="B62" s="450" t="s">
        <v>114</v>
      </c>
      <c r="C62" s="145">
        <f t="shared" si="0"/>
        <v>4982.66</v>
      </c>
      <c r="D62" s="139">
        <v>1000</v>
      </c>
      <c r="E62" s="139">
        <v>1203.49</v>
      </c>
      <c r="F62" s="139">
        <v>2220.4499999999998</v>
      </c>
      <c r="G62" s="139">
        <v>0</v>
      </c>
      <c r="H62" s="139">
        <v>0</v>
      </c>
      <c r="I62" s="156">
        <v>403.81</v>
      </c>
      <c r="J62" s="163">
        <v>154.91</v>
      </c>
    </row>
    <row r="63" spans="1:10" ht="14.5">
      <c r="A63" s="472"/>
      <c r="B63" s="450" t="s">
        <v>115</v>
      </c>
      <c r="C63" s="145">
        <f t="shared" si="0"/>
        <v>5080.55</v>
      </c>
      <c r="D63" s="139">
        <v>1000</v>
      </c>
      <c r="E63" s="139">
        <v>1237.3900000000001</v>
      </c>
      <c r="F63" s="139">
        <v>2286.6999999999998</v>
      </c>
      <c r="G63" s="139">
        <v>0</v>
      </c>
      <c r="H63" s="139">
        <v>0</v>
      </c>
      <c r="I63" s="156">
        <v>403.81</v>
      </c>
      <c r="J63" s="163">
        <v>152.65</v>
      </c>
    </row>
    <row r="64" spans="1:10" ht="14.5">
      <c r="A64" s="473"/>
      <c r="B64" s="452" t="s">
        <v>116</v>
      </c>
      <c r="C64" s="147">
        <f t="shared" si="0"/>
        <v>5168.75</v>
      </c>
      <c r="D64" s="142">
        <v>1000</v>
      </c>
      <c r="E64" s="142">
        <v>1321.95</v>
      </c>
      <c r="F64" s="142">
        <v>2308.0300000000002</v>
      </c>
      <c r="G64" s="142">
        <v>0</v>
      </c>
      <c r="H64" s="142">
        <v>0</v>
      </c>
      <c r="I64" s="157">
        <v>398.72</v>
      </c>
      <c r="J64" s="158">
        <v>140.05000000000001</v>
      </c>
    </row>
    <row r="65" spans="1:10" ht="14.5">
      <c r="A65" s="472">
        <v>2016</v>
      </c>
      <c r="B65" s="450" t="s">
        <v>105</v>
      </c>
      <c r="C65" s="145">
        <f t="shared" si="0"/>
        <v>4838.33</v>
      </c>
      <c r="D65" s="139">
        <v>1000</v>
      </c>
      <c r="E65" s="139">
        <v>1269.76</v>
      </c>
      <c r="F65" s="139">
        <v>2005.28</v>
      </c>
      <c r="G65" s="139">
        <v>3.33</v>
      </c>
      <c r="H65" s="146">
        <v>0</v>
      </c>
      <c r="I65" s="156">
        <v>401.09</v>
      </c>
      <c r="J65" s="163">
        <v>158.87</v>
      </c>
    </row>
    <row r="66" spans="1:10" ht="14.5">
      <c r="A66" s="472"/>
      <c r="B66" s="450" t="s">
        <v>106</v>
      </c>
      <c r="C66" s="145">
        <f t="shared" si="0"/>
        <v>5184.5600000000013</v>
      </c>
      <c r="D66" s="139">
        <v>1000</v>
      </c>
      <c r="E66" s="139">
        <v>1275.55</v>
      </c>
      <c r="F66" s="139">
        <v>2256.5100000000002</v>
      </c>
      <c r="G66" s="139">
        <v>95.1</v>
      </c>
      <c r="H66" s="146">
        <v>0</v>
      </c>
      <c r="I66" s="156">
        <v>395.93</v>
      </c>
      <c r="J66" s="163">
        <v>161.47</v>
      </c>
    </row>
    <row r="67" spans="1:10" ht="14.5">
      <c r="A67" s="472"/>
      <c r="B67" s="450" t="s">
        <v>107</v>
      </c>
      <c r="C67" s="145">
        <f t="shared" si="0"/>
        <v>5431.8399999999992</v>
      </c>
      <c r="D67" s="139">
        <v>1000</v>
      </c>
      <c r="E67" s="139">
        <v>1285.3699999999999</v>
      </c>
      <c r="F67" s="139">
        <v>2494.2399999999998</v>
      </c>
      <c r="G67" s="139">
        <v>69.19</v>
      </c>
      <c r="H67" s="146">
        <v>0</v>
      </c>
      <c r="I67" s="156">
        <v>387.36</v>
      </c>
      <c r="J67" s="163">
        <v>195.68</v>
      </c>
    </row>
    <row r="68" spans="1:10" ht="14.5">
      <c r="A68" s="472"/>
      <c r="B68" s="450" t="s">
        <v>108</v>
      </c>
      <c r="C68" s="145">
        <f t="shared" si="0"/>
        <v>5200.2899999999991</v>
      </c>
      <c r="D68" s="139">
        <v>1000</v>
      </c>
      <c r="E68" s="139">
        <v>1315.24</v>
      </c>
      <c r="F68" s="139">
        <v>2304.0700000000002</v>
      </c>
      <c r="G68" s="139">
        <v>4.32</v>
      </c>
      <c r="H68" s="146">
        <v>0</v>
      </c>
      <c r="I68" s="156">
        <v>387.8</v>
      </c>
      <c r="J68" s="163">
        <v>188.86</v>
      </c>
    </row>
    <row r="69" spans="1:10" ht="14.5">
      <c r="A69" s="472"/>
      <c r="B69" s="450" t="s">
        <v>109</v>
      </c>
      <c r="C69" s="145">
        <f t="shared" si="0"/>
        <v>5361.5199999999995</v>
      </c>
      <c r="D69" s="139">
        <v>1000</v>
      </c>
      <c r="E69" s="139">
        <v>1317.82</v>
      </c>
      <c r="F69" s="139">
        <v>2450.58</v>
      </c>
      <c r="G69" s="139">
        <v>11.25</v>
      </c>
      <c r="H69" s="146">
        <v>0</v>
      </c>
      <c r="I69" s="156">
        <v>393.86</v>
      </c>
      <c r="J69" s="163">
        <v>188.01</v>
      </c>
    </row>
    <row r="70" spans="1:10" ht="14.5">
      <c r="A70" s="472"/>
      <c r="B70" s="450" t="s">
        <v>110</v>
      </c>
      <c r="C70" s="145">
        <f t="shared" ref="C70:C81" si="1">SUM(D70:J70)</f>
        <v>5874.6999999999989</v>
      </c>
      <c r="D70" s="139">
        <v>1000</v>
      </c>
      <c r="E70" s="139">
        <v>1328.53</v>
      </c>
      <c r="F70" s="139">
        <v>2698.04</v>
      </c>
      <c r="G70" s="139">
        <v>254.38</v>
      </c>
      <c r="H70" s="146">
        <v>0</v>
      </c>
      <c r="I70" s="156">
        <v>384.02</v>
      </c>
      <c r="J70" s="163">
        <v>209.73</v>
      </c>
    </row>
    <row r="71" spans="1:10" ht="14.5">
      <c r="A71" s="472"/>
      <c r="B71" s="450" t="s">
        <v>117</v>
      </c>
      <c r="C71" s="145">
        <f t="shared" si="1"/>
        <v>5653.1</v>
      </c>
      <c r="D71" s="139">
        <v>1000</v>
      </c>
      <c r="E71" s="139">
        <v>1302.1600000000001</v>
      </c>
      <c r="F71" s="139">
        <v>2628.95</v>
      </c>
      <c r="G71" s="139">
        <v>121.64</v>
      </c>
      <c r="H71" s="146">
        <v>0</v>
      </c>
      <c r="I71" s="156">
        <v>384.02</v>
      </c>
      <c r="J71" s="163">
        <v>216.33</v>
      </c>
    </row>
    <row r="72" spans="1:10" ht="14.5">
      <c r="A72" s="472"/>
      <c r="B72" s="450" t="s">
        <v>112</v>
      </c>
      <c r="C72" s="145">
        <f t="shared" si="1"/>
        <v>5453.3300000000008</v>
      </c>
      <c r="D72" s="139">
        <v>1000</v>
      </c>
      <c r="E72" s="139">
        <v>1268.93</v>
      </c>
      <c r="F72" s="139">
        <v>2559.1</v>
      </c>
      <c r="G72" s="139">
        <v>16.88</v>
      </c>
      <c r="H72" s="146">
        <v>0</v>
      </c>
      <c r="I72" s="156">
        <v>386.76</v>
      </c>
      <c r="J72" s="163">
        <v>221.66</v>
      </c>
    </row>
    <row r="73" spans="1:10" ht="14.5">
      <c r="A73" s="472"/>
      <c r="B73" s="450" t="s">
        <v>113</v>
      </c>
      <c r="C73" s="145">
        <f t="shared" si="1"/>
        <v>5384.07</v>
      </c>
      <c r="D73" s="139">
        <v>1000</v>
      </c>
      <c r="E73" s="139">
        <v>1282.71</v>
      </c>
      <c r="F73" s="139">
        <v>2473.14</v>
      </c>
      <c r="G73" s="139">
        <v>15.13</v>
      </c>
      <c r="H73" s="146">
        <v>0</v>
      </c>
      <c r="I73" s="156">
        <v>387.9</v>
      </c>
      <c r="J73" s="163">
        <v>225.19</v>
      </c>
    </row>
    <row r="74" spans="1:10" ht="14.5">
      <c r="A74" s="472"/>
      <c r="B74" s="450" t="s">
        <v>114</v>
      </c>
      <c r="C74" s="145">
        <f t="shared" si="1"/>
        <v>5257.51</v>
      </c>
      <c r="D74" s="139">
        <v>1000</v>
      </c>
      <c r="E74" s="139">
        <v>1273.25</v>
      </c>
      <c r="F74" s="139">
        <v>2191.9299999999998</v>
      </c>
      <c r="G74" s="139">
        <v>185.59</v>
      </c>
      <c r="H74" s="146">
        <v>0</v>
      </c>
      <c r="I74" s="156">
        <v>389.21</v>
      </c>
      <c r="J74" s="163">
        <v>217.53</v>
      </c>
    </row>
    <row r="75" spans="1:10" ht="14.5">
      <c r="A75" s="472"/>
      <c r="B75" s="450" t="s">
        <v>115</v>
      </c>
      <c r="C75" s="145">
        <f t="shared" si="1"/>
        <v>5106.66</v>
      </c>
      <c r="D75" s="139">
        <v>1000</v>
      </c>
      <c r="E75" s="139">
        <v>1273.92</v>
      </c>
      <c r="F75" s="139">
        <v>2195.59</v>
      </c>
      <c r="G75" s="139">
        <v>68.86</v>
      </c>
      <c r="H75" s="146">
        <v>0</v>
      </c>
      <c r="I75" s="156">
        <v>392.58</v>
      </c>
      <c r="J75" s="163">
        <v>175.71</v>
      </c>
    </row>
    <row r="76" spans="1:10" ht="14.5">
      <c r="A76" s="473"/>
      <c r="B76" s="452" t="s">
        <v>116</v>
      </c>
      <c r="C76" s="147">
        <f t="shared" si="1"/>
        <v>5568.2800000000007</v>
      </c>
      <c r="D76" s="142">
        <v>1000</v>
      </c>
      <c r="E76" s="142">
        <v>1380.81</v>
      </c>
      <c r="F76" s="142">
        <v>2547.8200000000002</v>
      </c>
      <c r="G76" s="142">
        <v>53.72</v>
      </c>
      <c r="H76" s="148">
        <v>0</v>
      </c>
      <c r="I76" s="157">
        <v>395.67</v>
      </c>
      <c r="J76" s="158">
        <v>190.26</v>
      </c>
    </row>
    <row r="77" spans="1:10" ht="14.5">
      <c r="A77" s="472">
        <v>2017</v>
      </c>
      <c r="B77" s="450" t="s">
        <v>105</v>
      </c>
      <c r="C77" s="145">
        <f t="shared" si="1"/>
        <v>5092.7400000000007</v>
      </c>
      <c r="D77" s="139">
        <v>1000</v>
      </c>
      <c r="E77" s="139">
        <v>1335.8</v>
      </c>
      <c r="F77" s="139">
        <v>2148.73</v>
      </c>
      <c r="G77" s="139">
        <v>10.08</v>
      </c>
      <c r="H77" s="146">
        <v>0</v>
      </c>
      <c r="I77" s="156">
        <v>392.56</v>
      </c>
      <c r="J77" s="163">
        <v>205.57</v>
      </c>
    </row>
    <row r="78" spans="1:10" ht="14.5">
      <c r="A78" s="472"/>
      <c r="B78" s="450" t="s">
        <v>106</v>
      </c>
      <c r="C78" s="145">
        <f t="shared" si="1"/>
        <v>5109.49</v>
      </c>
      <c r="D78" s="139">
        <v>1000</v>
      </c>
      <c r="E78" s="139">
        <v>1282.99</v>
      </c>
      <c r="F78" s="139">
        <v>2090.02</v>
      </c>
      <c r="G78" s="139">
        <v>140.41999999999999</v>
      </c>
      <c r="H78" s="146">
        <v>0</v>
      </c>
      <c r="I78" s="156">
        <v>386.83</v>
      </c>
      <c r="J78" s="163">
        <v>209.23</v>
      </c>
    </row>
    <row r="79" spans="1:10" ht="14.5">
      <c r="A79" s="472"/>
      <c r="B79" s="450" t="s">
        <v>107</v>
      </c>
      <c r="C79" s="145">
        <f t="shared" si="1"/>
        <v>5314.64</v>
      </c>
      <c r="D79" s="139">
        <v>1000</v>
      </c>
      <c r="E79" s="139">
        <v>1262.6500000000001</v>
      </c>
      <c r="F79" s="139">
        <v>2450.4299999999998</v>
      </c>
      <c r="G79" s="139">
        <v>4.17</v>
      </c>
      <c r="H79" s="146">
        <v>0</v>
      </c>
      <c r="I79" s="156">
        <v>385.97</v>
      </c>
      <c r="J79" s="163">
        <v>211.42</v>
      </c>
    </row>
    <row r="80" spans="1:10" ht="14.5">
      <c r="A80" s="472"/>
      <c r="B80" s="450" t="s">
        <v>108</v>
      </c>
      <c r="C80" s="145">
        <f t="shared" si="1"/>
        <v>5015.079999999999</v>
      </c>
      <c r="D80" s="139">
        <v>1000</v>
      </c>
      <c r="E80" s="139">
        <v>1220.49</v>
      </c>
      <c r="F80" s="139">
        <v>2153.6999999999998</v>
      </c>
      <c r="G80" s="139">
        <v>35.950000000000003</v>
      </c>
      <c r="H80" s="146">
        <v>0</v>
      </c>
      <c r="I80" s="156">
        <v>389.61</v>
      </c>
      <c r="J80" s="163">
        <v>215.33</v>
      </c>
    </row>
    <row r="81" spans="1:10" ht="14.5">
      <c r="A81" s="472"/>
      <c r="B81" s="450" t="s">
        <v>109</v>
      </c>
      <c r="C81" s="145">
        <f t="shared" si="1"/>
        <v>5016.869999999999</v>
      </c>
      <c r="D81" s="139">
        <v>1000</v>
      </c>
      <c r="E81" s="139">
        <v>1235.03</v>
      </c>
      <c r="F81" s="139">
        <v>2151.35</v>
      </c>
      <c r="G81" s="139">
        <v>1.66</v>
      </c>
      <c r="H81" s="146">
        <v>0</v>
      </c>
      <c r="I81" s="156">
        <v>389.8</v>
      </c>
      <c r="J81" s="163">
        <v>239.03</v>
      </c>
    </row>
    <row r="82" spans="1:10" ht="14.5">
      <c r="A82" s="472"/>
      <c r="B82" s="450" t="s">
        <v>110</v>
      </c>
      <c r="C82" s="145">
        <f t="shared" ref="C82:C146" si="2">SUM(D82:J82)</f>
        <v>4823.3899999999994</v>
      </c>
      <c r="D82" s="139">
        <v>1000</v>
      </c>
      <c r="E82" s="139">
        <v>1260.6600000000001</v>
      </c>
      <c r="F82" s="139">
        <v>1887.36</v>
      </c>
      <c r="G82" s="139">
        <v>30.5</v>
      </c>
      <c r="H82" s="146">
        <v>0</v>
      </c>
      <c r="I82" s="156">
        <v>390.76</v>
      </c>
      <c r="J82" s="163">
        <v>254.11</v>
      </c>
    </row>
    <row r="83" spans="1:10" ht="14.5">
      <c r="A83" s="472"/>
      <c r="B83" s="450" t="s">
        <v>117</v>
      </c>
      <c r="C83" s="145">
        <f t="shared" si="2"/>
        <v>4714.7700000000004</v>
      </c>
      <c r="D83" s="139">
        <v>1000</v>
      </c>
      <c r="E83" s="139">
        <v>1205.78</v>
      </c>
      <c r="F83" s="139">
        <v>1795.21</v>
      </c>
      <c r="G83" s="139">
        <v>127.35</v>
      </c>
      <c r="H83" s="146">
        <v>0</v>
      </c>
      <c r="I83" s="156">
        <v>389.01</v>
      </c>
      <c r="J83" s="163">
        <v>197.42</v>
      </c>
    </row>
    <row r="84" spans="1:10" ht="14.5">
      <c r="A84" s="472"/>
      <c r="B84" s="450" t="s">
        <v>112</v>
      </c>
      <c r="C84" s="145">
        <f t="shared" si="2"/>
        <v>4651.5700000000006</v>
      </c>
      <c r="D84" s="139">
        <v>1000</v>
      </c>
      <c r="E84" s="139">
        <v>1220.76</v>
      </c>
      <c r="F84" s="139">
        <v>1812.25</v>
      </c>
      <c r="G84" s="139">
        <v>32.380000000000003</v>
      </c>
      <c r="H84" s="146">
        <v>0</v>
      </c>
      <c r="I84" s="156">
        <v>390.96</v>
      </c>
      <c r="J84" s="163">
        <v>195.22</v>
      </c>
    </row>
    <row r="85" spans="1:10" ht="14.5">
      <c r="A85" s="472"/>
      <c r="B85" s="450" t="s">
        <v>113</v>
      </c>
      <c r="C85" s="145">
        <f t="shared" si="2"/>
        <v>4926.7099999999991</v>
      </c>
      <c r="D85" s="139">
        <v>1000</v>
      </c>
      <c r="E85" s="139">
        <v>1211.07</v>
      </c>
      <c r="F85" s="139">
        <v>2108.17</v>
      </c>
      <c r="G85" s="139">
        <v>21.88</v>
      </c>
      <c r="H85" s="146">
        <v>0</v>
      </c>
      <c r="I85" s="156">
        <v>390.69</v>
      </c>
      <c r="J85" s="163">
        <v>194.9</v>
      </c>
    </row>
    <row r="86" spans="1:10" ht="14.5">
      <c r="A86" s="472"/>
      <c r="B86" s="450" t="s">
        <v>114</v>
      </c>
      <c r="C86" s="145">
        <f t="shared" si="2"/>
        <v>4833.5599999999995</v>
      </c>
      <c r="D86" s="139">
        <v>1000</v>
      </c>
      <c r="E86" s="139">
        <v>1198.3900000000001</v>
      </c>
      <c r="F86" s="139">
        <v>1845.95</v>
      </c>
      <c r="G86" s="139">
        <v>203.82</v>
      </c>
      <c r="H86" s="146">
        <v>0</v>
      </c>
      <c r="I86" s="156">
        <v>388.91</v>
      </c>
      <c r="J86" s="163">
        <v>196.49</v>
      </c>
    </row>
    <row r="87" spans="1:10" ht="14.5">
      <c r="A87" s="472"/>
      <c r="B87" s="450" t="s">
        <v>115</v>
      </c>
      <c r="C87" s="145">
        <f t="shared" si="2"/>
        <v>4873.97</v>
      </c>
      <c r="D87" s="139">
        <v>1000</v>
      </c>
      <c r="E87" s="139">
        <v>1182.54</v>
      </c>
      <c r="F87" s="139">
        <v>1940.74</v>
      </c>
      <c r="G87" s="139">
        <v>165.67</v>
      </c>
      <c r="H87" s="146">
        <v>0</v>
      </c>
      <c r="I87" s="156">
        <v>388.17</v>
      </c>
      <c r="J87" s="163">
        <v>196.85</v>
      </c>
    </row>
    <row r="88" spans="1:10" ht="14.5">
      <c r="A88" s="473"/>
      <c r="B88" s="452" t="s">
        <v>116</v>
      </c>
      <c r="C88" s="142">
        <f t="shared" si="2"/>
        <v>5102.66</v>
      </c>
      <c r="D88" s="142">
        <v>1000</v>
      </c>
      <c r="E88" s="142">
        <v>1263.04</v>
      </c>
      <c r="F88" s="142">
        <v>2241.17</v>
      </c>
      <c r="G88" s="142">
        <v>0</v>
      </c>
      <c r="H88" s="142">
        <v>0</v>
      </c>
      <c r="I88" s="157">
        <v>387.37</v>
      </c>
      <c r="J88" s="158">
        <v>211.08</v>
      </c>
    </row>
    <row r="89" spans="1:10" ht="14.5">
      <c r="A89" s="472">
        <v>2018</v>
      </c>
      <c r="B89" s="450" t="s">
        <v>105</v>
      </c>
      <c r="C89" s="159">
        <f t="shared" si="2"/>
        <v>4676.619999999999</v>
      </c>
      <c r="D89" s="150">
        <v>1000</v>
      </c>
      <c r="E89" s="150">
        <v>1185.99</v>
      </c>
      <c r="F89" s="150">
        <v>1871.19</v>
      </c>
      <c r="G89" s="150">
        <v>16.600000000000001</v>
      </c>
      <c r="H89" s="149">
        <v>0</v>
      </c>
      <c r="I89" s="160">
        <v>388.19</v>
      </c>
      <c r="J89" s="625">
        <v>214.65</v>
      </c>
    </row>
    <row r="90" spans="1:10" ht="14.5">
      <c r="A90" s="472"/>
      <c r="B90" s="450" t="s">
        <v>106</v>
      </c>
      <c r="C90" s="159">
        <f t="shared" si="2"/>
        <v>4829.1499999999996</v>
      </c>
      <c r="D90" s="150">
        <v>1000</v>
      </c>
      <c r="E90" s="150">
        <v>1214.0899999999999</v>
      </c>
      <c r="F90" s="150">
        <v>1981.86</v>
      </c>
      <c r="G90" s="150">
        <v>37.39</v>
      </c>
      <c r="H90" s="149">
        <v>0</v>
      </c>
      <c r="I90" s="160">
        <v>390.11</v>
      </c>
      <c r="J90" s="625">
        <v>205.7</v>
      </c>
    </row>
    <row r="91" spans="1:10" ht="14.5">
      <c r="A91" s="472"/>
      <c r="B91" s="450" t="s">
        <v>107</v>
      </c>
      <c r="C91" s="159">
        <f t="shared" si="2"/>
        <v>5352.25</v>
      </c>
      <c r="D91" s="150">
        <v>1000</v>
      </c>
      <c r="E91" s="150">
        <v>1225.46</v>
      </c>
      <c r="F91" s="150">
        <v>2474.17</v>
      </c>
      <c r="G91" s="150">
        <v>57.69</v>
      </c>
      <c r="H91" s="150">
        <v>0</v>
      </c>
      <c r="I91" s="160">
        <v>388.04</v>
      </c>
      <c r="J91" s="625">
        <v>206.89</v>
      </c>
    </row>
    <row r="92" spans="1:10" ht="14.5">
      <c r="A92" s="472"/>
      <c r="B92" s="455" t="s">
        <v>108</v>
      </c>
      <c r="C92" s="149">
        <f t="shared" si="2"/>
        <v>4673.7700000000004</v>
      </c>
      <c r="D92" s="150">
        <v>1000</v>
      </c>
      <c r="E92" s="150">
        <v>1213.42</v>
      </c>
      <c r="F92" s="150">
        <v>1867.84</v>
      </c>
      <c r="G92" s="150">
        <v>1.92</v>
      </c>
      <c r="H92" s="149">
        <v>0</v>
      </c>
      <c r="I92" s="160">
        <v>387.41</v>
      </c>
      <c r="J92" s="625">
        <v>203.18</v>
      </c>
    </row>
    <row r="93" spans="1:10" ht="14.5">
      <c r="A93" s="472"/>
      <c r="B93" s="455" t="s">
        <v>109</v>
      </c>
      <c r="C93" s="146">
        <f t="shared" si="2"/>
        <v>4750.05</v>
      </c>
      <c r="D93" s="139">
        <v>1000</v>
      </c>
      <c r="E93" s="139">
        <v>1233.8499999999999</v>
      </c>
      <c r="F93" s="139">
        <v>1905.95</v>
      </c>
      <c r="G93" s="139">
        <v>19.190000000000001</v>
      </c>
      <c r="H93" s="139">
        <v>0</v>
      </c>
      <c r="I93" s="156">
        <v>385.79</v>
      </c>
      <c r="J93" s="163">
        <v>205.27</v>
      </c>
    </row>
    <row r="94" spans="1:10" ht="14.5">
      <c r="A94" s="472"/>
      <c r="B94" s="455" t="s">
        <v>110</v>
      </c>
      <c r="C94" s="146">
        <f t="shared" si="2"/>
        <v>5148.9500000000007</v>
      </c>
      <c r="D94" s="139">
        <v>1000</v>
      </c>
      <c r="E94" s="139">
        <v>1194.29</v>
      </c>
      <c r="F94" s="139">
        <v>2330.48</v>
      </c>
      <c r="G94" s="139">
        <v>41.93</v>
      </c>
      <c r="H94" s="139">
        <v>0</v>
      </c>
      <c r="I94" s="156">
        <v>387.41</v>
      </c>
      <c r="J94" s="163">
        <v>194.84</v>
      </c>
    </row>
    <row r="95" spans="1:10" ht="14.5">
      <c r="A95" s="472"/>
      <c r="B95" s="455" t="s">
        <v>117</v>
      </c>
      <c r="C95" s="139">
        <f t="shared" si="2"/>
        <v>4707.67</v>
      </c>
      <c r="D95" s="139">
        <v>1000</v>
      </c>
      <c r="E95" s="139">
        <v>1181.55</v>
      </c>
      <c r="F95" s="139">
        <v>1930.87</v>
      </c>
      <c r="G95" s="139">
        <v>8.7100000000000009</v>
      </c>
      <c r="H95" s="146">
        <v>0</v>
      </c>
      <c r="I95" s="156">
        <v>389.36</v>
      </c>
      <c r="J95" s="163">
        <v>197.18</v>
      </c>
    </row>
    <row r="96" spans="1:10" ht="14.5">
      <c r="A96" s="472"/>
      <c r="B96" s="455" t="s">
        <v>112</v>
      </c>
      <c r="C96" s="139">
        <f t="shared" si="2"/>
        <v>4714.7100000000009</v>
      </c>
      <c r="D96" s="139">
        <v>1000</v>
      </c>
      <c r="E96" s="139">
        <v>1159.19</v>
      </c>
      <c r="F96" s="139">
        <v>1956.58</v>
      </c>
      <c r="G96" s="139">
        <v>7.77</v>
      </c>
      <c r="H96" s="146">
        <v>0</v>
      </c>
      <c r="I96" s="156">
        <v>390.25</v>
      </c>
      <c r="J96" s="163">
        <v>200.92</v>
      </c>
    </row>
    <row r="97" spans="1:10" ht="14.5">
      <c r="A97" s="472"/>
      <c r="B97" s="455" t="s">
        <v>113</v>
      </c>
      <c r="C97" s="139">
        <f t="shared" si="2"/>
        <v>4943.78</v>
      </c>
      <c r="D97" s="139">
        <v>1000</v>
      </c>
      <c r="E97" s="139">
        <v>1157.5</v>
      </c>
      <c r="F97" s="139">
        <v>2185.1999999999998</v>
      </c>
      <c r="G97" s="139">
        <v>32.67</v>
      </c>
      <c r="H97" s="139">
        <v>0</v>
      </c>
      <c r="I97" s="156">
        <v>388.17</v>
      </c>
      <c r="J97" s="163">
        <v>180.24</v>
      </c>
    </row>
    <row r="98" spans="1:10" ht="14.5">
      <c r="A98" s="472"/>
      <c r="B98" s="455" t="s">
        <v>114</v>
      </c>
      <c r="C98" s="146">
        <f t="shared" si="2"/>
        <v>4832.38</v>
      </c>
      <c r="D98" s="139">
        <v>1000</v>
      </c>
      <c r="E98" s="139">
        <v>1158.43</v>
      </c>
      <c r="F98" s="139">
        <v>1943.51</v>
      </c>
      <c r="G98" s="139">
        <v>157.01</v>
      </c>
      <c r="H98" s="146">
        <v>0</v>
      </c>
      <c r="I98" s="156">
        <v>389.98</v>
      </c>
      <c r="J98" s="163">
        <v>183.45</v>
      </c>
    </row>
    <row r="99" spans="1:10" ht="14.5">
      <c r="A99" s="472"/>
      <c r="B99" s="455" t="s">
        <v>115</v>
      </c>
      <c r="C99" s="146">
        <f t="shared" si="2"/>
        <v>4794.7899999999991</v>
      </c>
      <c r="D99" s="139">
        <v>1000</v>
      </c>
      <c r="E99" s="139">
        <v>1166.08</v>
      </c>
      <c r="F99" s="139">
        <v>1928.56</v>
      </c>
      <c r="G99" s="139">
        <v>128.25</v>
      </c>
      <c r="H99" s="139">
        <v>0</v>
      </c>
      <c r="I99" s="156">
        <v>385.78</v>
      </c>
      <c r="J99" s="163">
        <v>186.12</v>
      </c>
    </row>
    <row r="100" spans="1:10" ht="14.5">
      <c r="A100" s="473"/>
      <c r="B100" s="456" t="s">
        <v>116</v>
      </c>
      <c r="C100" s="148">
        <f t="shared" si="2"/>
        <v>5114.8999999999996</v>
      </c>
      <c r="D100" s="142">
        <v>1000</v>
      </c>
      <c r="E100" s="142">
        <v>1248.79</v>
      </c>
      <c r="F100" s="142">
        <v>2160.61</v>
      </c>
      <c r="G100" s="142">
        <v>120</v>
      </c>
      <c r="H100" s="142">
        <v>0</v>
      </c>
      <c r="I100" s="157">
        <v>387.33</v>
      </c>
      <c r="J100" s="158">
        <v>198.17</v>
      </c>
    </row>
    <row r="101" spans="1:10" ht="14.5">
      <c r="A101" s="471">
        <v>2019</v>
      </c>
      <c r="B101" s="453" t="s">
        <v>105</v>
      </c>
      <c r="C101" s="136">
        <f t="shared" si="2"/>
        <v>4843.21</v>
      </c>
      <c r="D101" s="136">
        <v>1000</v>
      </c>
      <c r="E101" s="136">
        <v>1218.93</v>
      </c>
      <c r="F101" s="136">
        <v>1860.23</v>
      </c>
      <c r="G101" s="136">
        <v>168.26</v>
      </c>
      <c r="H101" s="161">
        <v>0</v>
      </c>
      <c r="I101" s="155">
        <v>383.82</v>
      </c>
      <c r="J101" s="162">
        <v>211.97</v>
      </c>
    </row>
    <row r="102" spans="1:10" ht="14.5">
      <c r="A102" s="472"/>
      <c r="B102" s="450" t="s">
        <v>106</v>
      </c>
      <c r="C102" s="139">
        <f t="shared" si="2"/>
        <v>4955.8600000000006</v>
      </c>
      <c r="D102" s="139">
        <v>1000</v>
      </c>
      <c r="E102" s="139">
        <v>1209.48</v>
      </c>
      <c r="F102" s="139">
        <v>2006.57</v>
      </c>
      <c r="G102" s="139">
        <v>136.1</v>
      </c>
      <c r="H102" s="139">
        <v>0</v>
      </c>
      <c r="I102" s="156">
        <v>383.7</v>
      </c>
      <c r="J102" s="163">
        <v>220.01</v>
      </c>
    </row>
    <row r="103" spans="1:10" ht="14.5">
      <c r="A103" s="472"/>
      <c r="B103" s="450" t="s">
        <v>107</v>
      </c>
      <c r="C103" s="139">
        <f t="shared" si="2"/>
        <v>5636.8600000000006</v>
      </c>
      <c r="D103" s="139">
        <v>1000</v>
      </c>
      <c r="E103" s="139">
        <v>1212.72</v>
      </c>
      <c r="F103" s="139">
        <v>2688.68</v>
      </c>
      <c r="G103" s="139">
        <v>126.63</v>
      </c>
      <c r="H103" s="139">
        <v>0</v>
      </c>
      <c r="I103" s="156">
        <v>383.06</v>
      </c>
      <c r="J103" s="163">
        <v>225.77</v>
      </c>
    </row>
    <row r="104" spans="1:10" ht="14.5">
      <c r="A104" s="472"/>
      <c r="B104" s="455" t="s">
        <v>108</v>
      </c>
      <c r="C104" s="146">
        <f t="shared" si="2"/>
        <v>5063.5000000000009</v>
      </c>
      <c r="D104" s="139">
        <v>1000</v>
      </c>
      <c r="E104" s="139">
        <v>1201.01</v>
      </c>
      <c r="F104" s="139">
        <v>2046.8</v>
      </c>
      <c r="G104" s="139">
        <v>195.68</v>
      </c>
      <c r="H104" s="139">
        <v>0</v>
      </c>
      <c r="I104" s="156">
        <v>384.09</v>
      </c>
      <c r="J104" s="163">
        <v>235.92</v>
      </c>
    </row>
    <row r="105" spans="1:10" ht="14.5">
      <c r="A105" s="472"/>
      <c r="B105" s="455" t="s">
        <v>109</v>
      </c>
      <c r="C105" s="146">
        <f t="shared" si="2"/>
        <v>5076.97</v>
      </c>
      <c r="D105" s="139">
        <v>1000</v>
      </c>
      <c r="E105" s="139">
        <v>1218.44</v>
      </c>
      <c r="F105" s="139">
        <v>2031.92</v>
      </c>
      <c r="G105" s="139">
        <v>205.8</v>
      </c>
      <c r="H105" s="139">
        <v>0</v>
      </c>
      <c r="I105" s="156">
        <v>386.58</v>
      </c>
      <c r="J105" s="163">
        <v>234.23</v>
      </c>
    </row>
    <row r="106" spans="1:10" ht="14.5">
      <c r="A106" s="472"/>
      <c r="B106" s="455" t="s">
        <v>110</v>
      </c>
      <c r="C106" s="146">
        <f t="shared" si="2"/>
        <v>5285.85</v>
      </c>
      <c r="D106" s="139">
        <v>1000</v>
      </c>
      <c r="E106" s="139">
        <v>1182.79</v>
      </c>
      <c r="F106" s="139">
        <v>2319.4</v>
      </c>
      <c r="G106" s="139">
        <v>131.41999999999999</v>
      </c>
      <c r="H106" s="139">
        <v>0</v>
      </c>
      <c r="I106" s="156">
        <v>382.92</v>
      </c>
      <c r="J106" s="163">
        <v>269.32</v>
      </c>
    </row>
    <row r="107" spans="1:10" ht="14.5">
      <c r="A107" s="472"/>
      <c r="B107" s="455" t="s">
        <v>117</v>
      </c>
      <c r="C107" s="145">
        <f t="shared" si="2"/>
        <v>4976.78</v>
      </c>
      <c r="D107" s="139">
        <v>1000</v>
      </c>
      <c r="E107" s="139">
        <v>1167.9000000000001</v>
      </c>
      <c r="F107" s="139">
        <v>1979.55</v>
      </c>
      <c r="G107" s="139">
        <v>161.54</v>
      </c>
      <c r="H107" s="139">
        <v>0</v>
      </c>
      <c r="I107" s="156">
        <v>383.3</v>
      </c>
      <c r="J107" s="163">
        <v>284.49</v>
      </c>
    </row>
    <row r="108" spans="1:10" ht="14.5">
      <c r="A108" s="472"/>
      <c r="B108" s="455" t="s">
        <v>112</v>
      </c>
      <c r="C108" s="145">
        <f t="shared" si="2"/>
        <v>4910.1899999999996</v>
      </c>
      <c r="D108" s="139">
        <v>1000</v>
      </c>
      <c r="E108" s="139">
        <v>1183.5899999999999</v>
      </c>
      <c r="F108" s="139">
        <v>1805.04</v>
      </c>
      <c r="G108" s="139">
        <v>120.28</v>
      </c>
      <c r="H108" s="139">
        <v>0</v>
      </c>
      <c r="I108" s="156">
        <v>386.7</v>
      </c>
      <c r="J108" s="163">
        <v>414.58</v>
      </c>
    </row>
    <row r="109" spans="1:10" ht="14.5">
      <c r="A109" s="472"/>
      <c r="B109" s="455" t="s">
        <v>113</v>
      </c>
      <c r="C109" s="145">
        <f t="shared" si="2"/>
        <v>5098.82</v>
      </c>
      <c r="D109" s="139">
        <v>1000</v>
      </c>
      <c r="E109" s="139">
        <v>1156.71</v>
      </c>
      <c r="F109" s="139">
        <v>1973.38</v>
      </c>
      <c r="G109" s="139">
        <v>151.15</v>
      </c>
      <c r="H109" s="139">
        <v>0</v>
      </c>
      <c r="I109" s="156">
        <v>385.83</v>
      </c>
      <c r="J109" s="163">
        <v>431.75</v>
      </c>
    </row>
    <row r="110" spans="1:10" ht="14.5">
      <c r="A110" s="472"/>
      <c r="B110" s="455" t="s">
        <v>114</v>
      </c>
      <c r="C110" s="139">
        <f t="shared" si="2"/>
        <v>4915.72</v>
      </c>
      <c r="D110" s="139">
        <v>1000</v>
      </c>
      <c r="E110" s="139">
        <v>1152.1600000000001</v>
      </c>
      <c r="F110" s="139">
        <v>1773.72</v>
      </c>
      <c r="G110" s="139">
        <v>177.51</v>
      </c>
      <c r="H110" s="139">
        <v>0</v>
      </c>
      <c r="I110" s="156">
        <v>384.51</v>
      </c>
      <c r="J110" s="163">
        <v>427.82</v>
      </c>
    </row>
    <row r="111" spans="1:10" ht="14.5">
      <c r="A111" s="472"/>
      <c r="B111" s="455" t="s">
        <v>115</v>
      </c>
      <c r="C111" s="139">
        <f t="shared" si="2"/>
        <v>4857.08</v>
      </c>
      <c r="D111" s="139">
        <v>1000</v>
      </c>
      <c r="E111" s="139">
        <v>1158.25</v>
      </c>
      <c r="F111" s="139">
        <v>1777.34</v>
      </c>
      <c r="G111" s="139">
        <v>125.91</v>
      </c>
      <c r="H111" s="139">
        <v>0</v>
      </c>
      <c r="I111" s="156">
        <v>384.17</v>
      </c>
      <c r="J111" s="163">
        <v>411.41</v>
      </c>
    </row>
    <row r="112" spans="1:10" ht="14.5">
      <c r="A112" s="473"/>
      <c r="B112" s="456" t="s">
        <v>116</v>
      </c>
      <c r="C112" s="142">
        <f t="shared" si="2"/>
        <v>6133.75</v>
      </c>
      <c r="D112" s="142">
        <v>1000</v>
      </c>
      <c r="E112" s="142">
        <v>1228.1199999999999</v>
      </c>
      <c r="F112" s="142">
        <v>2804.72</v>
      </c>
      <c r="G112" s="142">
        <v>287.57</v>
      </c>
      <c r="H112" s="142">
        <v>0</v>
      </c>
      <c r="I112" s="157">
        <v>379.85</v>
      </c>
      <c r="J112" s="158">
        <v>433.49</v>
      </c>
    </row>
    <row r="113" spans="1:10" ht="14.5">
      <c r="A113" s="471">
        <v>2020</v>
      </c>
      <c r="B113" s="454" t="s">
        <v>105</v>
      </c>
      <c r="C113" s="137">
        <f t="shared" si="2"/>
        <v>4803.6799689800009</v>
      </c>
      <c r="D113" s="136">
        <v>1000</v>
      </c>
      <c r="E113" s="136">
        <v>1226.1550337100011</v>
      </c>
      <c r="F113" s="136">
        <v>1635.1546126899996</v>
      </c>
      <c r="G113" s="136">
        <v>120.27432037</v>
      </c>
      <c r="H113" s="136">
        <v>0</v>
      </c>
      <c r="I113" s="155">
        <v>381.62449554999995</v>
      </c>
      <c r="J113" s="122">
        <v>440.47150666000005</v>
      </c>
    </row>
    <row r="114" spans="1:10" ht="14.5">
      <c r="A114" s="472"/>
      <c r="B114" s="455" t="s">
        <v>106</v>
      </c>
      <c r="C114" s="140">
        <f t="shared" si="2"/>
        <v>4815.3147441600022</v>
      </c>
      <c r="D114" s="139">
        <v>1000</v>
      </c>
      <c r="E114" s="139">
        <v>1213.7304313600025</v>
      </c>
      <c r="F114" s="139">
        <v>1670.7530046799998</v>
      </c>
      <c r="G114" s="139">
        <v>122.55674814</v>
      </c>
      <c r="H114" s="139">
        <v>0</v>
      </c>
      <c r="I114" s="156">
        <v>390.61157379999997</v>
      </c>
      <c r="J114" s="164">
        <v>417.66298617999996</v>
      </c>
    </row>
    <row r="115" spans="1:10" ht="14.5">
      <c r="A115" s="472"/>
      <c r="B115" s="455" t="s">
        <v>107</v>
      </c>
      <c r="C115" s="140">
        <f t="shared" si="2"/>
        <v>5505.7424074500013</v>
      </c>
      <c r="D115" s="139">
        <v>1000</v>
      </c>
      <c r="E115" s="139">
        <v>1231.7309025500017</v>
      </c>
      <c r="F115" s="139">
        <v>2367.3331330499996</v>
      </c>
      <c r="G115" s="139">
        <v>124.27507932</v>
      </c>
      <c r="H115" s="139">
        <v>0</v>
      </c>
      <c r="I115" s="156">
        <v>395.69805362999995</v>
      </c>
      <c r="J115" s="164">
        <v>386.70523889999998</v>
      </c>
    </row>
    <row r="116" spans="1:10" ht="14.5">
      <c r="A116" s="472"/>
      <c r="B116" s="455" t="s">
        <v>108</v>
      </c>
      <c r="C116" s="146">
        <f t="shared" si="2"/>
        <v>4952.6390576100011</v>
      </c>
      <c r="D116" s="139">
        <v>1000</v>
      </c>
      <c r="E116" s="139">
        <v>1246.2998145100014</v>
      </c>
      <c r="F116" s="139">
        <v>1828.31533487</v>
      </c>
      <c r="G116" s="139">
        <v>126.77741447</v>
      </c>
      <c r="H116" s="139">
        <v>0</v>
      </c>
      <c r="I116" s="156">
        <v>392.29751632999995</v>
      </c>
      <c r="J116" s="164">
        <v>358.94897742999996</v>
      </c>
    </row>
    <row r="117" spans="1:10" ht="14.5">
      <c r="A117" s="472"/>
      <c r="B117" s="455" t="s">
        <v>109</v>
      </c>
      <c r="C117" s="146">
        <f t="shared" si="2"/>
        <v>6425.2330586200014</v>
      </c>
      <c r="D117" s="139">
        <v>1000</v>
      </c>
      <c r="E117" s="139">
        <v>1290.5841029500004</v>
      </c>
      <c r="F117" s="139">
        <v>3220.1954312699995</v>
      </c>
      <c r="G117" s="139">
        <v>141.75754563000001</v>
      </c>
      <c r="H117" s="139">
        <v>0</v>
      </c>
      <c r="I117" s="156">
        <v>394.88799153999997</v>
      </c>
      <c r="J117" s="164">
        <v>377.80798723000004</v>
      </c>
    </row>
    <row r="118" spans="1:10" ht="14.5">
      <c r="A118" s="472"/>
      <c r="B118" s="455" t="s">
        <v>110</v>
      </c>
      <c r="C118" s="146">
        <f t="shared" si="2"/>
        <v>6029.3618071500005</v>
      </c>
      <c r="D118" s="139">
        <v>1000</v>
      </c>
      <c r="E118" s="139">
        <v>1249.8312050100008</v>
      </c>
      <c r="F118" s="139">
        <v>2810.46068762</v>
      </c>
      <c r="G118" s="139">
        <v>187.15642083</v>
      </c>
      <c r="H118" s="139">
        <v>0</v>
      </c>
      <c r="I118" s="156">
        <v>390.0388537099999</v>
      </c>
      <c r="J118" s="164">
        <v>391.87463997999993</v>
      </c>
    </row>
    <row r="119" spans="1:10" ht="14.5">
      <c r="A119" s="472"/>
      <c r="B119" s="455" t="s">
        <v>117</v>
      </c>
      <c r="C119" s="139">
        <f t="shared" si="2"/>
        <v>5122.249337809998</v>
      </c>
      <c r="D119" s="139">
        <v>1000</v>
      </c>
      <c r="E119" s="139">
        <v>1258.2710294899989</v>
      </c>
      <c r="F119" s="139">
        <v>1697.5032630099995</v>
      </c>
      <c r="G119" s="139">
        <v>341.94751500000001</v>
      </c>
      <c r="H119" s="139">
        <v>0</v>
      </c>
      <c r="I119" s="156">
        <v>393.77698485999997</v>
      </c>
      <c r="J119" s="164">
        <v>430.75054545000006</v>
      </c>
    </row>
    <row r="120" spans="1:10" ht="14.5">
      <c r="A120" s="472"/>
      <c r="B120" s="455" t="s">
        <v>112</v>
      </c>
      <c r="C120" s="139">
        <f t="shared" si="2"/>
        <v>5234.909667449997</v>
      </c>
      <c r="D120" s="139">
        <v>1000</v>
      </c>
      <c r="E120" s="139">
        <v>1260.7618419999983</v>
      </c>
      <c r="F120" s="139">
        <v>2024.5642182599995</v>
      </c>
      <c r="G120" s="139">
        <v>126.50456093</v>
      </c>
      <c r="H120" s="139">
        <v>0</v>
      </c>
      <c r="I120" s="156">
        <v>392.09872622999995</v>
      </c>
      <c r="J120" s="164">
        <v>430.98032003000003</v>
      </c>
    </row>
    <row r="121" spans="1:10" ht="14.5">
      <c r="A121" s="472"/>
      <c r="B121" s="455" t="s">
        <v>113</v>
      </c>
      <c r="C121" s="139">
        <f t="shared" si="2"/>
        <v>5241.7460421400001</v>
      </c>
      <c r="D121" s="139">
        <v>1000</v>
      </c>
      <c r="E121" s="139">
        <v>1268.7726502200001</v>
      </c>
      <c r="F121" s="139">
        <v>2019.0460957999999</v>
      </c>
      <c r="G121" s="139">
        <v>145.44662461000001</v>
      </c>
      <c r="H121" s="139">
        <v>0</v>
      </c>
      <c r="I121" s="156">
        <v>392.20225333999997</v>
      </c>
      <c r="J121" s="164">
        <v>416.2784181699999</v>
      </c>
    </row>
    <row r="122" spans="1:10" ht="14.5">
      <c r="A122" s="472"/>
      <c r="B122" s="455" t="s">
        <v>114</v>
      </c>
      <c r="C122" s="146">
        <f t="shared" si="2"/>
        <v>5045.797750509998</v>
      </c>
      <c r="D122" s="139">
        <v>1000</v>
      </c>
      <c r="E122" s="139">
        <v>1276.1789283899986</v>
      </c>
      <c r="F122" s="139">
        <v>1838.2178485999991</v>
      </c>
      <c r="G122" s="139">
        <v>129.11585681</v>
      </c>
      <c r="H122" s="139">
        <v>0</v>
      </c>
      <c r="I122" s="156">
        <v>391.75528715999997</v>
      </c>
      <c r="J122" s="164">
        <v>410.52982954999999</v>
      </c>
    </row>
    <row r="123" spans="1:10" ht="14.5">
      <c r="A123" s="472"/>
      <c r="B123" s="455" t="s">
        <v>115</v>
      </c>
      <c r="C123" s="146">
        <f t="shared" si="2"/>
        <v>5464.4040000000005</v>
      </c>
      <c r="D123" s="139">
        <v>1000</v>
      </c>
      <c r="E123" s="139">
        <v>1282.7619999999999</v>
      </c>
      <c r="F123" s="139">
        <v>2212.8850000000002</v>
      </c>
      <c r="G123" s="139">
        <v>184.58500000000001</v>
      </c>
      <c r="H123" s="139">
        <v>0</v>
      </c>
      <c r="I123" s="156">
        <v>389.19299999999998</v>
      </c>
      <c r="J123" s="164">
        <v>394.97899999999998</v>
      </c>
    </row>
    <row r="124" spans="1:10" ht="14.5">
      <c r="A124" s="473"/>
      <c r="B124" s="456" t="s">
        <v>116</v>
      </c>
      <c r="C124" s="148">
        <f t="shared" si="2"/>
        <v>5614.027885829998</v>
      </c>
      <c r="D124" s="142">
        <v>1000</v>
      </c>
      <c r="E124" s="142">
        <v>1357.799872719999</v>
      </c>
      <c r="F124" s="142">
        <v>2246.9916807699997</v>
      </c>
      <c r="G124" s="142">
        <v>191.95522</v>
      </c>
      <c r="H124" s="142">
        <v>0</v>
      </c>
      <c r="I124" s="156">
        <v>391.34696388999998</v>
      </c>
      <c r="J124" s="165">
        <v>425.93414845000001</v>
      </c>
    </row>
    <row r="125" spans="1:10" ht="14.5">
      <c r="A125" s="471">
        <v>2021</v>
      </c>
      <c r="B125" s="454" t="s">
        <v>105</v>
      </c>
      <c r="C125" s="161">
        <f t="shared" si="2"/>
        <v>5076.9458601963106</v>
      </c>
      <c r="D125" s="136">
        <v>1000</v>
      </c>
      <c r="E125" s="136">
        <v>1321.3801006300002</v>
      </c>
      <c r="F125" s="136">
        <v>1773.2444613999999</v>
      </c>
      <c r="G125" s="136">
        <v>171.83710639</v>
      </c>
      <c r="H125" s="136">
        <v>0</v>
      </c>
      <c r="I125" s="155">
        <v>390.40634244631042</v>
      </c>
      <c r="J125" s="122">
        <v>420.07784932999999</v>
      </c>
    </row>
    <row r="126" spans="1:10" ht="14.5">
      <c r="A126" s="472"/>
      <c r="B126" s="455" t="s">
        <v>106</v>
      </c>
      <c r="C126" s="146">
        <f t="shared" si="2"/>
        <v>5212.5546186214624</v>
      </c>
      <c r="D126" s="139">
        <v>1000</v>
      </c>
      <c r="E126" s="139">
        <v>1347.8479314700014</v>
      </c>
      <c r="F126" s="139">
        <v>1912.18671761</v>
      </c>
      <c r="G126" s="139">
        <v>172.42078583</v>
      </c>
      <c r="H126" s="139">
        <v>0</v>
      </c>
      <c r="I126" s="156">
        <v>388.93733842146048</v>
      </c>
      <c r="J126" s="164">
        <v>391.16184528999997</v>
      </c>
    </row>
    <row r="127" spans="1:10" ht="14.5">
      <c r="A127" s="472"/>
      <c r="B127" s="455" t="s">
        <v>107</v>
      </c>
      <c r="C127" s="146">
        <f t="shared" si="2"/>
        <v>5728.5064002123891</v>
      </c>
      <c r="D127" s="139">
        <v>1000</v>
      </c>
      <c r="E127" s="139">
        <v>1346.6228701200007</v>
      </c>
      <c r="F127" s="139">
        <v>2318.7937694699999</v>
      </c>
      <c r="G127" s="139">
        <v>283.20026000000001</v>
      </c>
      <c r="H127" s="139">
        <v>0</v>
      </c>
      <c r="I127" s="156">
        <v>388.54227270238823</v>
      </c>
      <c r="J127" s="164">
        <v>391.34722792000002</v>
      </c>
    </row>
    <row r="128" spans="1:10" ht="14.5">
      <c r="A128" s="472"/>
      <c r="B128" s="455" t="s">
        <v>108</v>
      </c>
      <c r="C128" s="146">
        <f t="shared" si="2"/>
        <v>5103.0185391800005</v>
      </c>
      <c r="D128" s="139">
        <v>1000</v>
      </c>
      <c r="E128" s="139">
        <v>1364.344897120001</v>
      </c>
      <c r="F128" s="139">
        <v>1786.5670036399997</v>
      </c>
      <c r="G128" s="139">
        <v>166.67924464000001</v>
      </c>
      <c r="H128" s="139">
        <v>0</v>
      </c>
      <c r="I128" s="156">
        <v>387.58299463999998</v>
      </c>
      <c r="J128" s="164">
        <v>397.84439914000001</v>
      </c>
    </row>
    <row r="129" spans="1:10" ht="14.5">
      <c r="A129" s="472"/>
      <c r="B129" s="455" t="s">
        <v>109</v>
      </c>
      <c r="C129" s="146">
        <f t="shared" si="2"/>
        <v>5205.1945403099999</v>
      </c>
      <c r="D129" s="139">
        <v>1000</v>
      </c>
      <c r="E129" s="139">
        <v>1351.2254403600004</v>
      </c>
      <c r="F129" s="139">
        <v>1901.6779986899999</v>
      </c>
      <c r="G129" s="139">
        <v>141.16870459999998</v>
      </c>
      <c r="H129" s="139">
        <v>0</v>
      </c>
      <c r="I129" s="156">
        <v>389.30836701999999</v>
      </c>
      <c r="J129" s="164">
        <v>421.81402963999994</v>
      </c>
    </row>
    <row r="130" spans="1:10" ht="14.5">
      <c r="A130" s="472"/>
      <c r="B130" s="455" t="s">
        <v>110</v>
      </c>
      <c r="C130" s="146">
        <f t="shared" si="2"/>
        <v>5684.7616315400001</v>
      </c>
      <c r="D130" s="139">
        <v>1000</v>
      </c>
      <c r="E130" s="139">
        <v>1351.7359267300003</v>
      </c>
      <c r="F130" s="139">
        <v>2351.1349842200002</v>
      </c>
      <c r="G130" s="139">
        <v>168.05812908000001</v>
      </c>
      <c r="H130" s="139">
        <v>0</v>
      </c>
      <c r="I130" s="156">
        <v>390.25576551999995</v>
      </c>
      <c r="J130" s="164">
        <v>423.57682598999997</v>
      </c>
    </row>
    <row r="131" spans="1:10">
      <c r="A131" s="449"/>
      <c r="B131" s="455" t="s">
        <v>117</v>
      </c>
      <c r="C131" s="146">
        <f t="shared" si="2"/>
        <v>5176.1224534399998</v>
      </c>
      <c r="D131" s="139">
        <v>1000</v>
      </c>
      <c r="E131" s="139">
        <v>1344.5807025600004</v>
      </c>
      <c r="F131" s="139">
        <v>1792.8476574700001</v>
      </c>
      <c r="G131" s="139">
        <v>209.36011583999999</v>
      </c>
      <c r="H131" s="139">
        <v>0</v>
      </c>
      <c r="I131" s="156">
        <v>393.51504709999995</v>
      </c>
      <c r="J131" s="164">
        <v>435.81893047000005</v>
      </c>
    </row>
    <row r="132" spans="1:10">
      <c r="A132" s="449"/>
      <c r="B132" s="455" t="s">
        <v>112</v>
      </c>
      <c r="C132" s="146">
        <f t="shared" si="2"/>
        <v>5876.0435630600014</v>
      </c>
      <c r="D132" s="139">
        <v>1000</v>
      </c>
      <c r="E132" s="139">
        <v>1363.8324632600013</v>
      </c>
      <c r="F132" s="139">
        <v>1890.2047027899998</v>
      </c>
      <c r="G132" s="139">
        <v>246.78601742000001</v>
      </c>
      <c r="H132" s="139">
        <v>0</v>
      </c>
      <c r="I132" s="156">
        <v>942.68484365999984</v>
      </c>
      <c r="J132" s="164">
        <v>432.53553593000004</v>
      </c>
    </row>
    <row r="133" spans="1:10">
      <c r="A133" s="449"/>
      <c r="B133" s="455" t="s">
        <v>113</v>
      </c>
      <c r="C133" s="146">
        <f t="shared" si="2"/>
        <v>6451.3185879299999</v>
      </c>
      <c r="D133" s="139">
        <v>1000</v>
      </c>
      <c r="E133" s="139">
        <v>1345.9479682299996</v>
      </c>
      <c r="F133" s="139">
        <v>2646.5587076499996</v>
      </c>
      <c r="G133" s="139">
        <v>94.904685540000003</v>
      </c>
      <c r="H133" s="139">
        <v>0</v>
      </c>
      <c r="I133" s="156">
        <v>944.01531598999998</v>
      </c>
      <c r="J133" s="164">
        <v>419.89191052000001</v>
      </c>
    </row>
    <row r="134" spans="1:10">
      <c r="A134" s="449"/>
      <c r="B134" s="455" t="s">
        <v>114</v>
      </c>
      <c r="C134" s="146">
        <f t="shared" si="2"/>
        <v>5996.4889007940728</v>
      </c>
      <c r="D134" s="139">
        <v>1000</v>
      </c>
      <c r="E134" s="139">
        <v>1366.9272868100004</v>
      </c>
      <c r="F134" s="139">
        <v>2166.2398863099997</v>
      </c>
      <c r="G134" s="139">
        <v>103.00943451000001</v>
      </c>
      <c r="H134" s="139">
        <v>0</v>
      </c>
      <c r="I134" s="156">
        <v>936.74004941407259</v>
      </c>
      <c r="J134" s="164">
        <v>423.57224374999998</v>
      </c>
    </row>
    <row r="135" spans="1:10">
      <c r="A135" s="449"/>
      <c r="B135" s="455" t="s">
        <v>115</v>
      </c>
      <c r="C135" s="146">
        <f t="shared" si="2"/>
        <v>6036.3059560695592</v>
      </c>
      <c r="D135" s="139">
        <v>1000</v>
      </c>
      <c r="E135" s="139">
        <v>1369.6249699700008</v>
      </c>
      <c r="F135" s="139">
        <v>2101.7276547699998</v>
      </c>
      <c r="G135" s="139">
        <v>171.39128217000001</v>
      </c>
      <c r="H135" s="139">
        <v>0</v>
      </c>
      <c r="I135" s="156">
        <v>943.77875930955884</v>
      </c>
      <c r="J135" s="164">
        <v>449.78328984999996</v>
      </c>
    </row>
    <row r="136" spans="1:10">
      <c r="A136" s="451"/>
      <c r="B136" s="456" t="s">
        <v>116</v>
      </c>
      <c r="C136" s="148">
        <f t="shared" si="2"/>
        <v>7087.3828572500006</v>
      </c>
      <c r="D136" s="142">
        <v>1000</v>
      </c>
      <c r="E136" s="142">
        <v>1431.4355419100011</v>
      </c>
      <c r="F136" s="142">
        <v>3194.2008552200004</v>
      </c>
      <c r="G136" s="142">
        <v>76.996632480000002</v>
      </c>
      <c r="H136" s="142">
        <v>0</v>
      </c>
      <c r="I136" s="157">
        <v>938.07366649999983</v>
      </c>
      <c r="J136" s="165">
        <v>446.67616113999998</v>
      </c>
    </row>
    <row r="137" spans="1:10" ht="14.5">
      <c r="A137" s="471">
        <v>2022</v>
      </c>
      <c r="B137" s="454" t="s">
        <v>105</v>
      </c>
      <c r="C137" s="136">
        <f t="shared" si="2"/>
        <v>6011.7196516900021</v>
      </c>
      <c r="D137" s="136">
        <v>1000</v>
      </c>
      <c r="E137" s="136">
        <v>1432.9780902000016</v>
      </c>
      <c r="F137" s="136">
        <v>1846.7308897500002</v>
      </c>
      <c r="G137" s="136">
        <v>275.76023889999999</v>
      </c>
      <c r="H137" s="136">
        <v>0</v>
      </c>
      <c r="I137" s="155">
        <v>928.86438912999984</v>
      </c>
      <c r="J137" s="122">
        <v>527.38604370999997</v>
      </c>
    </row>
    <row r="138" spans="1:10">
      <c r="A138" s="449"/>
      <c r="B138" s="455" t="s">
        <v>106</v>
      </c>
      <c r="C138" s="139">
        <f t="shared" si="2"/>
        <v>5791.93287564</v>
      </c>
      <c r="D138" s="139">
        <v>1000</v>
      </c>
      <c r="E138" s="139">
        <v>1422.2380442999997</v>
      </c>
      <c r="F138" s="139">
        <v>1932.3511710400003</v>
      </c>
      <c r="G138" s="139">
        <v>74.936121099999994</v>
      </c>
      <c r="H138" s="139">
        <v>0</v>
      </c>
      <c r="I138" s="156">
        <v>927.65315943999997</v>
      </c>
      <c r="J138" s="164">
        <v>434.75437976000001</v>
      </c>
    </row>
    <row r="139" spans="1:10">
      <c r="A139" s="449"/>
      <c r="B139" s="455" t="s">
        <v>107</v>
      </c>
      <c r="C139" s="139">
        <f t="shared" si="2"/>
        <v>6887.2286556399995</v>
      </c>
      <c r="D139" s="139">
        <v>1000</v>
      </c>
      <c r="E139" s="139">
        <v>1431.6449972299997</v>
      </c>
      <c r="F139" s="139">
        <v>3003.2889895600001</v>
      </c>
      <c r="G139" s="139">
        <v>95.858138990000015</v>
      </c>
      <c r="H139" s="139">
        <v>0</v>
      </c>
      <c r="I139" s="156">
        <v>921.03711942999985</v>
      </c>
      <c r="J139" s="164">
        <v>435.39941042999999</v>
      </c>
    </row>
    <row r="140" spans="1:10">
      <c r="A140" s="449"/>
      <c r="B140" s="455" t="s">
        <v>108</v>
      </c>
      <c r="C140" s="139">
        <f t="shared" si="2"/>
        <v>5743.3677311600004</v>
      </c>
      <c r="D140" s="139">
        <v>1000</v>
      </c>
      <c r="E140" s="139">
        <v>1439.95720211</v>
      </c>
      <c r="F140" s="139">
        <v>1907.9222901500004</v>
      </c>
      <c r="G140" s="139">
        <v>56.102169330000002</v>
      </c>
      <c r="H140" s="139">
        <v>0</v>
      </c>
      <c r="I140" s="156">
        <v>916.43514868999978</v>
      </c>
      <c r="J140" s="164">
        <v>422.95092088000001</v>
      </c>
    </row>
    <row r="141" spans="1:10">
      <c r="A141" s="449"/>
      <c r="B141" s="455" t="s">
        <v>109</v>
      </c>
      <c r="C141" s="139">
        <f t="shared" si="2"/>
        <v>5649.1666313799997</v>
      </c>
      <c r="D141" s="139">
        <v>1000</v>
      </c>
      <c r="E141" s="139">
        <v>1411.1797910499988</v>
      </c>
      <c r="F141" s="139">
        <v>1821.2458117599999</v>
      </c>
      <c r="G141" s="139">
        <v>97.840600519999995</v>
      </c>
      <c r="H141" s="139">
        <v>0</v>
      </c>
      <c r="I141" s="156">
        <v>910.23839380999982</v>
      </c>
      <c r="J141" s="164">
        <v>408.66203424000003</v>
      </c>
    </row>
    <row r="142" spans="1:10">
      <c r="A142" s="449"/>
      <c r="B142" s="455" t="s">
        <v>110</v>
      </c>
      <c r="C142" s="139">
        <f t="shared" si="2"/>
        <v>7213.6425321600018</v>
      </c>
      <c r="D142" s="139">
        <v>1000</v>
      </c>
      <c r="E142" s="139">
        <v>1401.9744384400021</v>
      </c>
      <c r="F142" s="139">
        <v>3434.6161198700001</v>
      </c>
      <c r="G142" s="139">
        <v>70.881146080000008</v>
      </c>
      <c r="H142" s="614">
        <v>0</v>
      </c>
      <c r="I142" s="156">
        <v>909.74721320999993</v>
      </c>
      <c r="J142" s="164">
        <v>396.42361456000003</v>
      </c>
    </row>
    <row r="143" spans="1:10">
      <c r="A143" s="449"/>
      <c r="B143" s="455" t="s">
        <v>117</v>
      </c>
      <c r="C143" s="139">
        <f t="shared" si="2"/>
        <v>5547.7163920500016</v>
      </c>
      <c r="D143" s="139">
        <v>1000</v>
      </c>
      <c r="E143" s="139">
        <v>1391.1984591800012</v>
      </c>
      <c r="F143" s="139">
        <v>1794.04046595</v>
      </c>
      <c r="G143" s="139">
        <v>64.615344339999993</v>
      </c>
      <c r="H143" s="614">
        <v>0</v>
      </c>
      <c r="I143" s="156">
        <v>895.88650509000001</v>
      </c>
      <c r="J143" s="164">
        <v>401.97561748999993</v>
      </c>
    </row>
    <row r="144" spans="1:10">
      <c r="A144" s="449"/>
      <c r="B144" s="455" t="s">
        <v>112</v>
      </c>
      <c r="C144" s="139">
        <f t="shared" si="2"/>
        <v>5725.2831784799982</v>
      </c>
      <c r="D144" s="139">
        <v>1000</v>
      </c>
      <c r="E144" s="139">
        <v>1389.3364136399982</v>
      </c>
      <c r="F144" s="139">
        <v>1901.3383979800001</v>
      </c>
      <c r="G144" s="139">
        <v>79.173853930000007</v>
      </c>
      <c r="H144" s="614">
        <v>0</v>
      </c>
      <c r="I144" s="156">
        <v>893.68439865999994</v>
      </c>
      <c r="J144" s="164">
        <v>461.75011427000004</v>
      </c>
    </row>
    <row r="145" spans="1:10">
      <c r="A145" s="449"/>
      <c r="B145" s="455" t="s">
        <v>113</v>
      </c>
      <c r="C145" s="139">
        <f t="shared" si="2"/>
        <v>7003.75314678</v>
      </c>
      <c r="D145" s="139">
        <v>1000</v>
      </c>
      <c r="E145" s="139">
        <v>1364.2583001700013</v>
      </c>
      <c r="F145" s="139">
        <v>3298.9679477199993</v>
      </c>
      <c r="G145" s="139">
        <v>44.958739519999995</v>
      </c>
      <c r="H145" s="139">
        <v>0</v>
      </c>
      <c r="I145" s="156">
        <v>903.51588492999997</v>
      </c>
      <c r="J145" s="164">
        <v>392.05227444000002</v>
      </c>
    </row>
    <row r="146" spans="1:10">
      <c r="A146" s="449"/>
      <c r="B146" s="455" t="s">
        <v>114</v>
      </c>
      <c r="C146" s="139">
        <f t="shared" si="2"/>
        <v>5534.6027181899999</v>
      </c>
      <c r="D146" s="139">
        <v>1000</v>
      </c>
      <c r="E146" s="139">
        <v>1361.6274651999993</v>
      </c>
      <c r="F146" s="139">
        <v>1869.5699581300005</v>
      </c>
      <c r="G146" s="139">
        <v>29.034286549999997</v>
      </c>
      <c r="H146" s="139">
        <v>0</v>
      </c>
      <c r="I146" s="156">
        <v>891.52215195999997</v>
      </c>
      <c r="J146" s="164">
        <v>382.84885635000006</v>
      </c>
    </row>
    <row r="147" spans="1:10">
      <c r="A147" s="449"/>
      <c r="B147" s="455" t="s">
        <v>115</v>
      </c>
      <c r="C147" s="139">
        <f>SUM(D147:J147)</f>
        <v>5711.9925917799983</v>
      </c>
      <c r="D147" s="139">
        <v>1000</v>
      </c>
      <c r="E147" s="139">
        <v>1359.1085463099992</v>
      </c>
      <c r="F147" s="139">
        <v>1933.8739312000002</v>
      </c>
      <c r="G147" s="139">
        <v>88.548476179999994</v>
      </c>
      <c r="H147" s="139">
        <v>0</v>
      </c>
      <c r="I147" s="156">
        <v>888.19575681999993</v>
      </c>
      <c r="J147" s="164">
        <v>442.26588127000002</v>
      </c>
    </row>
    <row r="148" spans="1:10">
      <c r="A148" s="451"/>
      <c r="B148" s="456" t="s">
        <v>116</v>
      </c>
      <c r="C148" s="142">
        <f>SUM(D148:J148)</f>
        <v>7052.1607012899958</v>
      </c>
      <c r="D148" s="142">
        <v>1000</v>
      </c>
      <c r="E148" s="142">
        <v>1422.2726778999961</v>
      </c>
      <c r="F148" s="142">
        <v>3237.12526342</v>
      </c>
      <c r="G148" s="142">
        <v>54.95707462</v>
      </c>
      <c r="H148" s="142">
        <v>0</v>
      </c>
      <c r="I148" s="157">
        <v>885.90209811999989</v>
      </c>
      <c r="J148" s="165">
        <v>451.90358722999997</v>
      </c>
    </row>
    <row r="149" spans="1:10" ht="14.5">
      <c r="A149" s="471">
        <v>2023</v>
      </c>
      <c r="B149" s="454" t="s">
        <v>105</v>
      </c>
      <c r="C149" s="136">
        <f>SUM(D149:J149)</f>
        <v>5922.5357905699984</v>
      </c>
      <c r="D149" s="136">
        <v>1000</v>
      </c>
      <c r="E149" s="136">
        <v>1414.3585624499999</v>
      </c>
      <c r="F149" s="136">
        <v>1978.9622768999991</v>
      </c>
      <c r="G149" s="136">
        <v>188.64844023999999</v>
      </c>
      <c r="H149" s="136">
        <v>0</v>
      </c>
      <c r="I149" s="155">
        <v>872.40831034999985</v>
      </c>
      <c r="J149" s="122">
        <v>468.15820063000001</v>
      </c>
    </row>
    <row r="150" spans="1:10">
      <c r="A150" s="449"/>
      <c r="B150" s="455" t="s">
        <v>106</v>
      </c>
      <c r="C150" s="139">
        <f>SUM(D150:J150)</f>
        <v>5722.42</v>
      </c>
      <c r="D150" s="139">
        <v>1000</v>
      </c>
      <c r="E150" s="139">
        <v>1378.578</v>
      </c>
      <c r="F150" s="139">
        <v>1882.585</v>
      </c>
      <c r="G150" s="139">
        <v>119.727</v>
      </c>
      <c r="H150" s="139">
        <v>0</v>
      </c>
      <c r="I150" s="156">
        <v>881.78399999999999</v>
      </c>
      <c r="J150" s="164">
        <v>459.74599999999998</v>
      </c>
    </row>
    <row r="151" spans="1:10">
      <c r="A151" s="449"/>
      <c r="B151" s="455" t="s">
        <v>107</v>
      </c>
      <c r="C151" s="139">
        <f>SUM(D151:J151)</f>
        <v>6001.2876534099978</v>
      </c>
      <c r="D151" s="139">
        <v>1000</v>
      </c>
      <c r="E151" s="139">
        <v>1384.8273224199982</v>
      </c>
      <c r="F151" s="139">
        <v>2163.9326396999995</v>
      </c>
      <c r="G151" s="139">
        <v>62.772716189999997</v>
      </c>
      <c r="H151" s="139">
        <v>0</v>
      </c>
      <c r="I151" s="156">
        <v>878.79034998999987</v>
      </c>
      <c r="J151" s="164">
        <v>510.96462511000004</v>
      </c>
    </row>
    <row r="152" spans="1:10">
      <c r="A152" s="449"/>
      <c r="B152" s="455" t="s">
        <v>108</v>
      </c>
      <c r="C152" s="139">
        <f t="shared" ref="C152:C178" si="3">SUM(D152:J152)</f>
        <v>5706.1629999999996</v>
      </c>
      <c r="D152" s="139">
        <v>1000</v>
      </c>
      <c r="E152" s="139">
        <v>1429.4059999999999</v>
      </c>
      <c r="F152" s="139">
        <v>1862.9859999999999</v>
      </c>
      <c r="G152" s="139">
        <v>36.217000000000006</v>
      </c>
      <c r="H152" s="139">
        <v>0</v>
      </c>
      <c r="I152" s="156">
        <v>884.59400000000005</v>
      </c>
      <c r="J152" s="164">
        <v>492.96</v>
      </c>
    </row>
    <row r="153" spans="1:10">
      <c r="A153" s="449"/>
      <c r="B153" s="455" t="s">
        <v>109</v>
      </c>
      <c r="C153" s="139">
        <f t="shared" si="3"/>
        <v>5757.7842946399978</v>
      </c>
      <c r="D153" s="139">
        <v>1000</v>
      </c>
      <c r="E153" s="139">
        <v>1363.4736073899987</v>
      </c>
      <c r="F153" s="139">
        <v>1887.6434492399994</v>
      </c>
      <c r="G153" s="139">
        <v>81.400257409999995</v>
      </c>
      <c r="H153" s="139">
        <v>0</v>
      </c>
      <c r="I153" s="156">
        <v>884.7636807099999</v>
      </c>
      <c r="J153" s="164">
        <v>540.50329988999999</v>
      </c>
    </row>
    <row r="154" spans="1:10">
      <c r="A154" s="449"/>
      <c r="B154" s="455" t="s">
        <v>110</v>
      </c>
      <c r="C154" s="139">
        <f t="shared" si="3"/>
        <v>5717.2532006399961</v>
      </c>
      <c r="D154" s="139">
        <v>1000</v>
      </c>
      <c r="E154" s="139">
        <v>1366.772190809997</v>
      </c>
      <c r="F154" s="139">
        <v>1899.9997416399997</v>
      </c>
      <c r="G154" s="139">
        <v>25.82117908</v>
      </c>
      <c r="H154" s="139">
        <v>0</v>
      </c>
      <c r="I154" s="156">
        <v>887.88497928999982</v>
      </c>
      <c r="J154" s="164">
        <v>536.77510982000001</v>
      </c>
    </row>
    <row r="155" spans="1:10">
      <c r="A155" s="449"/>
      <c r="B155" s="455" t="s">
        <v>117</v>
      </c>
      <c r="C155" s="139">
        <f t="shared" si="3"/>
        <v>5630.0579362500021</v>
      </c>
      <c r="D155" s="139">
        <v>1000</v>
      </c>
      <c r="E155" s="139">
        <v>1367.0751393800024</v>
      </c>
      <c r="F155" s="139">
        <v>1757.3956929100002</v>
      </c>
      <c r="G155" s="139">
        <v>72.875654330000003</v>
      </c>
      <c r="H155" s="139">
        <v>0</v>
      </c>
      <c r="I155" s="156">
        <v>880.46424834999993</v>
      </c>
      <c r="J155" s="164">
        <v>552.2472012799999</v>
      </c>
    </row>
    <row r="156" spans="1:10">
      <c r="A156" s="449"/>
      <c r="B156" s="455" t="s">
        <v>112</v>
      </c>
      <c r="C156" s="139">
        <f t="shared" si="3"/>
        <v>5728.54688463</v>
      </c>
      <c r="D156" s="139">
        <v>1000</v>
      </c>
      <c r="E156" s="139">
        <v>1379.8847061200004</v>
      </c>
      <c r="F156" s="139">
        <v>1746.2482511200001</v>
      </c>
      <c r="G156" s="139">
        <v>163.92644598999999</v>
      </c>
      <c r="H156" s="139">
        <v>0</v>
      </c>
      <c r="I156" s="156">
        <v>884.05663114999982</v>
      </c>
      <c r="J156" s="164">
        <v>554.43085025000005</v>
      </c>
    </row>
    <row r="157" spans="1:10">
      <c r="A157" s="449"/>
      <c r="B157" s="455" t="s">
        <v>113</v>
      </c>
      <c r="C157" s="139">
        <f t="shared" si="3"/>
        <v>5737.7800383300028</v>
      </c>
      <c r="D157" s="139">
        <v>1000</v>
      </c>
      <c r="E157" s="139">
        <v>1361.4610041600038</v>
      </c>
      <c r="F157" s="139">
        <v>1877.55709935</v>
      </c>
      <c r="G157" s="139">
        <v>67.712464329999989</v>
      </c>
      <c r="H157" s="139">
        <v>0</v>
      </c>
      <c r="I157" s="156">
        <v>883.49497579999979</v>
      </c>
      <c r="J157" s="164">
        <v>547.55449468999996</v>
      </c>
    </row>
    <row r="158" spans="1:10">
      <c r="A158" s="449"/>
      <c r="B158" s="455" t="s">
        <v>114</v>
      </c>
      <c r="C158" s="139">
        <f t="shared" si="3"/>
        <v>5630.6473262500003</v>
      </c>
      <c r="D158" s="139">
        <v>1000</v>
      </c>
      <c r="E158" s="139">
        <v>1375.1790825600008</v>
      </c>
      <c r="F158" s="139">
        <v>1701.82176061</v>
      </c>
      <c r="G158" s="139">
        <v>95.087666130000002</v>
      </c>
      <c r="H158" s="139">
        <v>0</v>
      </c>
      <c r="I158" s="156">
        <v>884.29007080999986</v>
      </c>
      <c r="J158" s="164">
        <v>574.26874614000008</v>
      </c>
    </row>
    <row r="159" spans="1:10">
      <c r="A159" s="449"/>
      <c r="B159" s="455" t="s">
        <v>115</v>
      </c>
      <c r="C159" s="139">
        <f t="shared" si="3"/>
        <v>5795.7056235700047</v>
      </c>
      <c r="D159" s="139">
        <v>1000</v>
      </c>
      <c r="E159" s="139">
        <v>1363.3545229300041</v>
      </c>
      <c r="F159" s="139">
        <v>1705.9374728200003</v>
      </c>
      <c r="G159" s="139">
        <v>258.11889080999998</v>
      </c>
      <c r="H159" s="139">
        <v>0</v>
      </c>
      <c r="I159" s="156">
        <v>874.00675185999978</v>
      </c>
      <c r="J159" s="164">
        <v>594.28798514999994</v>
      </c>
    </row>
    <row r="160" spans="1:10">
      <c r="A160" s="451"/>
      <c r="B160" s="456" t="s">
        <v>116</v>
      </c>
      <c r="C160" s="142">
        <f t="shared" si="3"/>
        <v>6144.0186475500032</v>
      </c>
      <c r="D160" s="142">
        <v>1000</v>
      </c>
      <c r="E160" s="142">
        <v>1417.0319067500036</v>
      </c>
      <c r="F160" s="142">
        <v>2111.5325686699998</v>
      </c>
      <c r="G160" s="142">
        <v>100.9039058</v>
      </c>
      <c r="H160" s="142">
        <v>0</v>
      </c>
      <c r="I160" s="157">
        <v>876.66514288999974</v>
      </c>
      <c r="J160" s="279">
        <v>637.88512344000014</v>
      </c>
    </row>
    <row r="161" spans="1:12" ht="14.5">
      <c r="A161" s="471">
        <v>2024</v>
      </c>
      <c r="B161" s="454" t="s">
        <v>105</v>
      </c>
      <c r="C161" s="136">
        <f t="shared" si="3"/>
        <v>5887.7027523300039</v>
      </c>
      <c r="D161" s="136">
        <v>1000</v>
      </c>
      <c r="E161" s="136">
        <v>1408.379641850004</v>
      </c>
      <c r="F161" s="136">
        <v>1760.3605932899995</v>
      </c>
      <c r="G161" s="136">
        <v>211.11272815999999</v>
      </c>
      <c r="H161" s="136">
        <v>0</v>
      </c>
      <c r="I161" s="155">
        <v>877.86576279999974</v>
      </c>
      <c r="J161" s="122">
        <v>629.98402623000004</v>
      </c>
    </row>
    <row r="162" spans="1:12">
      <c r="A162" s="449"/>
      <c r="B162" s="455" t="s">
        <v>106</v>
      </c>
      <c r="C162" s="139">
        <f t="shared" si="3"/>
        <v>5887.1304911300031</v>
      </c>
      <c r="D162" s="139">
        <v>1000</v>
      </c>
      <c r="E162" s="139">
        <v>1401.9179379900038</v>
      </c>
      <c r="F162" s="139">
        <v>1778.1030401600001</v>
      </c>
      <c r="G162" s="139">
        <v>181.37219526999999</v>
      </c>
      <c r="H162" s="139">
        <v>0</v>
      </c>
      <c r="I162" s="156">
        <v>878.75270166999974</v>
      </c>
      <c r="J162" s="164">
        <v>646.98461604000011</v>
      </c>
    </row>
    <row r="163" spans="1:12">
      <c r="A163" s="449"/>
      <c r="B163" s="455" t="s">
        <v>107</v>
      </c>
      <c r="C163" s="139">
        <f t="shared" si="3"/>
        <v>6211.6170234100018</v>
      </c>
      <c r="D163" s="139">
        <v>1000</v>
      </c>
      <c r="E163" s="139">
        <v>1408.441071820002</v>
      </c>
      <c r="F163" s="139">
        <v>2105.1095384300006</v>
      </c>
      <c r="G163" s="139">
        <v>140.23130227999999</v>
      </c>
      <c r="H163" s="139">
        <v>0</v>
      </c>
      <c r="I163" s="156">
        <v>877.96909453999967</v>
      </c>
      <c r="J163" s="164">
        <v>679.86601633999999</v>
      </c>
    </row>
    <row r="164" spans="1:12">
      <c r="A164" s="449"/>
      <c r="B164" s="455" t="s">
        <v>108</v>
      </c>
      <c r="C164" s="139">
        <f t="shared" si="3"/>
        <v>5891.3728206899968</v>
      </c>
      <c r="D164" s="139">
        <v>1000</v>
      </c>
      <c r="E164" s="139">
        <v>1387.465697379997</v>
      </c>
      <c r="F164" s="139">
        <v>1771.66741428</v>
      </c>
      <c r="G164" s="139">
        <v>146.78721859999999</v>
      </c>
      <c r="H164" s="139">
        <v>0</v>
      </c>
      <c r="I164" s="156">
        <v>883.14469954999993</v>
      </c>
      <c r="J164" s="164">
        <v>702.30779087999997</v>
      </c>
    </row>
    <row r="165" spans="1:12">
      <c r="A165" s="449"/>
      <c r="B165" s="455" t="s">
        <v>109</v>
      </c>
      <c r="C165" s="139">
        <f t="shared" si="3"/>
        <v>5780.8153536899945</v>
      </c>
      <c r="D165" s="139">
        <v>1000</v>
      </c>
      <c r="E165" s="139">
        <v>1363.4389171199946</v>
      </c>
      <c r="F165" s="139">
        <v>1702.2130535500003</v>
      </c>
      <c r="G165" s="139">
        <v>108.63182225</v>
      </c>
      <c r="H165" s="139">
        <v>0</v>
      </c>
      <c r="I165" s="156">
        <v>880.06130212999994</v>
      </c>
      <c r="J165" s="164">
        <v>726.47025863999988</v>
      </c>
    </row>
    <row r="166" spans="1:12">
      <c r="A166" s="449"/>
      <c r="B166" s="455" t="s">
        <v>110</v>
      </c>
      <c r="C166" s="139">
        <f t="shared" si="3"/>
        <v>5801.3132912199981</v>
      </c>
      <c r="D166" s="139">
        <v>1000</v>
      </c>
      <c r="E166" s="139">
        <v>1353.671081869998</v>
      </c>
      <c r="F166" s="139">
        <v>1770.1782554599997</v>
      </c>
      <c r="G166" s="139">
        <v>77.46150372999999</v>
      </c>
      <c r="H166" s="139">
        <v>0</v>
      </c>
      <c r="I166" s="156">
        <v>879.66344013000003</v>
      </c>
      <c r="J166" s="164">
        <v>720.33901003000005</v>
      </c>
    </row>
    <row r="167" spans="1:12">
      <c r="A167" s="449"/>
      <c r="B167" s="455" t="s">
        <v>117</v>
      </c>
      <c r="C167" s="139">
        <f t="shared" si="3"/>
        <v>5904.9000861099967</v>
      </c>
      <c r="D167" s="139">
        <v>1000</v>
      </c>
      <c r="E167" s="139">
        <v>1363.9222087099972</v>
      </c>
      <c r="F167" s="139">
        <v>1627.8433329900001</v>
      </c>
      <c r="G167" s="139">
        <v>269.52200618000001</v>
      </c>
      <c r="H167" s="139">
        <v>0</v>
      </c>
      <c r="I167" s="156">
        <v>878.53471853999997</v>
      </c>
      <c r="J167" s="164">
        <v>765.07781968999996</v>
      </c>
    </row>
    <row r="168" spans="1:12">
      <c r="A168" s="449"/>
      <c r="B168" s="455" t="s">
        <v>112</v>
      </c>
      <c r="C168" s="139">
        <f t="shared" si="3"/>
        <v>5747.6009999999997</v>
      </c>
      <c r="D168" s="139">
        <v>1000</v>
      </c>
      <c r="E168" s="139">
        <v>1361.079</v>
      </c>
      <c r="F168" s="139">
        <v>1635.6510000000001</v>
      </c>
      <c r="G168" s="139">
        <v>91.911000000000001</v>
      </c>
      <c r="H168" s="139">
        <v>0</v>
      </c>
      <c r="I168" s="156">
        <v>863.91099999999994</v>
      </c>
      <c r="J168" s="164">
        <v>795.04899999999998</v>
      </c>
    </row>
    <row r="169" spans="1:12">
      <c r="A169" s="449"/>
      <c r="B169" s="455" t="s">
        <v>113</v>
      </c>
      <c r="C169" s="139">
        <f t="shared" si="3"/>
        <v>5761.9495497899989</v>
      </c>
      <c r="D169" s="139">
        <v>1000</v>
      </c>
      <c r="E169" s="139">
        <v>1362.4791516399987</v>
      </c>
      <c r="F169" s="139">
        <v>1643.4834672700001</v>
      </c>
      <c r="G169" s="139">
        <v>112.06703523</v>
      </c>
      <c r="H169" s="139">
        <v>0</v>
      </c>
      <c r="I169" s="156">
        <v>855.08637259999989</v>
      </c>
      <c r="J169" s="164">
        <v>788.83352305000005</v>
      </c>
    </row>
    <row r="170" spans="1:12">
      <c r="A170" s="449"/>
      <c r="B170" s="455" t="s">
        <v>114</v>
      </c>
      <c r="C170" s="139">
        <f t="shared" si="3"/>
        <v>5926.1644930599987</v>
      </c>
      <c r="D170" s="139">
        <v>1000</v>
      </c>
      <c r="E170" s="139">
        <v>1353.7334956499976</v>
      </c>
      <c r="F170" s="139">
        <v>1682.0096736700004</v>
      </c>
      <c r="G170" s="139">
        <v>180.78210945999999</v>
      </c>
      <c r="H170" s="139">
        <v>0</v>
      </c>
      <c r="I170" s="156">
        <v>867.47816440999986</v>
      </c>
      <c r="J170" s="164">
        <v>842.16104987000017</v>
      </c>
    </row>
    <row r="171" spans="1:12">
      <c r="A171" s="449"/>
      <c r="B171" s="455" t="s">
        <v>115</v>
      </c>
      <c r="C171" s="139">
        <f t="shared" si="3"/>
        <v>5889.9640171699984</v>
      </c>
      <c r="D171" s="139">
        <v>1000</v>
      </c>
      <c r="E171" s="139">
        <v>1356.9954279799986</v>
      </c>
      <c r="F171" s="139">
        <v>1651.92997539</v>
      </c>
      <c r="G171" s="139">
        <v>126.62532843</v>
      </c>
      <c r="H171" s="139">
        <v>0</v>
      </c>
      <c r="I171" s="156">
        <v>871.39374022999993</v>
      </c>
      <c r="J171" s="164">
        <v>883.01954514000022</v>
      </c>
    </row>
    <row r="172" spans="1:12">
      <c r="A172" s="451"/>
      <c r="B172" s="456" t="s">
        <v>116</v>
      </c>
      <c r="C172" s="142">
        <f t="shared" si="3"/>
        <v>6101.7823503899963</v>
      </c>
      <c r="D172" s="142">
        <v>1000</v>
      </c>
      <c r="E172" s="142">
        <v>1401.4472139299976</v>
      </c>
      <c r="F172" s="142">
        <v>1713.8068991599998</v>
      </c>
      <c r="G172" s="142">
        <v>235.25711061999999</v>
      </c>
      <c r="H172" s="142">
        <v>0</v>
      </c>
      <c r="I172" s="157">
        <v>869.5344352799998</v>
      </c>
      <c r="J172" s="165">
        <v>881.73669139999993</v>
      </c>
      <c r="K172" s="651"/>
      <c r="L172" s="74"/>
    </row>
    <row r="173" spans="1:12" ht="14.5">
      <c r="A173" s="471">
        <v>2025</v>
      </c>
      <c r="B173" s="454" t="s">
        <v>105</v>
      </c>
      <c r="C173" s="136">
        <f t="shared" si="3"/>
        <v>6022.479929959999</v>
      </c>
      <c r="D173" s="136">
        <v>1000</v>
      </c>
      <c r="E173" s="136">
        <v>1437.0358022799985</v>
      </c>
      <c r="F173" s="136">
        <v>1678.3606279000003</v>
      </c>
      <c r="G173" s="136">
        <v>184.87938266999998</v>
      </c>
      <c r="H173" s="136">
        <v>0</v>
      </c>
      <c r="I173" s="155">
        <v>869.84171894999986</v>
      </c>
      <c r="J173" s="122">
        <v>852.36239816</v>
      </c>
      <c r="K173" s="651"/>
      <c r="L173" s="74"/>
    </row>
    <row r="174" spans="1:12">
      <c r="A174" s="449"/>
      <c r="B174" s="455" t="s">
        <v>106</v>
      </c>
      <c r="C174" s="139">
        <f t="shared" si="3"/>
        <v>5839.0410493999989</v>
      </c>
      <c r="D174" s="139">
        <v>1000</v>
      </c>
      <c r="E174" s="139">
        <v>1391.392961699999</v>
      </c>
      <c r="F174" s="139">
        <v>1594.9915684800003</v>
      </c>
      <c r="G174" s="139">
        <v>124.33935137999998</v>
      </c>
      <c r="H174" s="139">
        <v>0</v>
      </c>
      <c r="I174" s="156">
        <v>869.30104484999993</v>
      </c>
      <c r="J174" s="164">
        <v>859.01612298999999</v>
      </c>
      <c r="K174" s="651"/>
      <c r="L174" s="74"/>
    </row>
    <row r="175" spans="1:12">
      <c r="A175" s="449"/>
      <c r="B175" s="455" t="s">
        <v>107</v>
      </c>
      <c r="C175" s="139">
        <f t="shared" si="3"/>
        <v>6530.0099773799966</v>
      </c>
      <c r="D175" s="139">
        <v>1000</v>
      </c>
      <c r="E175" s="139">
        <v>1410.6864689599977</v>
      </c>
      <c r="F175" s="139">
        <v>2260.5667043799999</v>
      </c>
      <c r="G175" s="139">
        <v>76.240434140000005</v>
      </c>
      <c r="H175" s="139">
        <v>0</v>
      </c>
      <c r="I175" s="156">
        <v>875.12541686999987</v>
      </c>
      <c r="J175" s="164">
        <v>907.39095302999999</v>
      </c>
      <c r="K175" s="651"/>
      <c r="L175" s="74"/>
    </row>
    <row r="176" spans="1:12">
      <c r="A176" s="449"/>
      <c r="B176" s="455" t="s">
        <v>108</v>
      </c>
      <c r="C176" s="139">
        <f t="shared" si="3"/>
        <v>5939.2277984299972</v>
      </c>
      <c r="D176" s="139">
        <v>1000</v>
      </c>
      <c r="E176" s="139">
        <v>1366.9321294499982</v>
      </c>
      <c r="F176" s="139">
        <v>1575.0243427799999</v>
      </c>
      <c r="G176" s="139">
        <v>198.70733788000001</v>
      </c>
      <c r="H176" s="139">
        <v>0</v>
      </c>
      <c r="I176" s="156">
        <v>873.01478119999979</v>
      </c>
      <c r="J176" s="164">
        <v>925.54920711999989</v>
      </c>
      <c r="K176" s="695"/>
      <c r="L176" s="74"/>
    </row>
    <row r="177" spans="1:12">
      <c r="A177" s="449"/>
      <c r="B177" s="455" t="s">
        <v>109</v>
      </c>
      <c r="C177" s="139">
        <f t="shared" si="3"/>
        <v>5747.6846902300003</v>
      </c>
      <c r="D177" s="139">
        <v>1000</v>
      </c>
      <c r="E177" s="139">
        <v>1350.27572824</v>
      </c>
      <c r="F177" s="139">
        <v>1512.8632776800002</v>
      </c>
      <c r="G177" s="139">
        <v>93.64424907999998</v>
      </c>
      <c r="H177" s="139">
        <v>0</v>
      </c>
      <c r="I177" s="156">
        <v>860.57525570999996</v>
      </c>
      <c r="J177" s="164">
        <v>930.3261795200001</v>
      </c>
      <c r="K177" s="651"/>
      <c r="L177" s="74"/>
    </row>
    <row r="178" spans="1:12">
      <c r="A178" s="451"/>
      <c r="B178" s="456" t="s">
        <v>110</v>
      </c>
      <c r="C178" s="142">
        <f t="shared" si="3"/>
        <v>5755.3134081000007</v>
      </c>
      <c r="D178" s="142">
        <v>1000</v>
      </c>
      <c r="E178" s="142">
        <v>1342.3623813900003</v>
      </c>
      <c r="F178" s="142">
        <v>1523.5857011000003</v>
      </c>
      <c r="G178" s="142">
        <v>85.720493959999999</v>
      </c>
      <c r="H178" s="142">
        <v>0</v>
      </c>
      <c r="I178" s="157">
        <v>862.95423565999999</v>
      </c>
      <c r="J178" s="165">
        <v>940.69059598999991</v>
      </c>
      <c r="K178" s="651"/>
      <c r="L178" s="74"/>
    </row>
    <row r="179" spans="1:12">
      <c r="E179" s="72"/>
      <c r="F179" s="71"/>
      <c r="G179" s="71"/>
      <c r="I179" s="71"/>
      <c r="J179" s="74"/>
      <c r="K179" s="651"/>
      <c r="L179" s="74"/>
    </row>
    <row r="180" spans="1:12">
      <c r="A180" s="491" t="s">
        <v>167</v>
      </c>
      <c r="B180" s="475"/>
      <c r="C180" s="475"/>
      <c r="D180" s="475"/>
      <c r="E180" s="71"/>
      <c r="F180" s="73"/>
      <c r="G180" s="73"/>
      <c r="H180" s="78"/>
      <c r="I180" s="73"/>
      <c r="J180" s="74"/>
    </row>
    <row r="181" spans="1:12">
      <c r="A181" s="475"/>
      <c r="B181" s="475"/>
      <c r="C181" s="486"/>
      <c r="D181" s="475"/>
      <c r="E181" s="73"/>
      <c r="F181" s="73"/>
      <c r="G181" s="73"/>
      <c r="H181" s="78"/>
      <c r="I181" s="73"/>
      <c r="J181" s="74"/>
    </row>
    <row r="182" spans="1:12">
      <c r="A182" s="475" t="s">
        <v>119</v>
      </c>
      <c r="B182" s="475"/>
      <c r="C182" s="486"/>
      <c r="D182" s="492"/>
      <c r="E182" s="73"/>
      <c r="F182" s="73"/>
      <c r="G182" s="73"/>
      <c r="H182" s="78"/>
      <c r="I182" s="73"/>
      <c r="J182" s="74"/>
    </row>
    <row r="183" spans="1:12">
      <c r="A183" s="475" t="s">
        <v>120</v>
      </c>
      <c r="B183" s="475"/>
      <c r="C183" s="486"/>
      <c r="D183" s="492"/>
      <c r="E183" s="73"/>
      <c r="F183" s="73"/>
      <c r="G183" s="73"/>
      <c r="H183" s="78"/>
      <c r="I183" s="73"/>
      <c r="J183" s="74"/>
    </row>
    <row r="184" spans="1:12">
      <c r="A184" s="488" t="s">
        <v>168</v>
      </c>
      <c r="B184" s="489"/>
      <c r="C184" s="486"/>
      <c r="D184" s="492"/>
      <c r="E184" s="73"/>
      <c r="F184" s="73"/>
      <c r="G184" s="73"/>
      <c r="H184" s="73"/>
      <c r="I184" s="73"/>
      <c r="J184" s="74"/>
    </row>
    <row r="185" spans="1:12">
      <c r="D185" s="71"/>
      <c r="E185" s="71"/>
      <c r="F185" s="73"/>
      <c r="G185" s="73"/>
      <c r="H185" s="71"/>
      <c r="I185" s="73"/>
      <c r="J185" s="80"/>
    </row>
    <row r="186" spans="1:12">
      <c r="D186" s="71"/>
      <c r="E186" s="71"/>
      <c r="F186" s="73"/>
      <c r="G186" s="73"/>
      <c r="H186" s="71"/>
      <c r="I186" s="73"/>
    </row>
    <row r="187" spans="1:12">
      <c r="E187" s="71"/>
      <c r="F187" s="73"/>
      <c r="G187" s="73"/>
      <c r="H187" s="71"/>
      <c r="I187" s="73"/>
    </row>
    <row r="188" spans="1:12">
      <c r="E188" s="71"/>
      <c r="F188" s="73"/>
      <c r="G188" s="73"/>
      <c r="H188" s="71"/>
      <c r="I188" s="73"/>
    </row>
    <row r="189" spans="1:12">
      <c r="E189" s="71"/>
      <c r="F189" s="73"/>
      <c r="G189" s="73"/>
      <c r="H189" s="71"/>
      <c r="I189" s="73"/>
    </row>
    <row r="190" spans="1:12">
      <c r="E190" s="71"/>
      <c r="F190" s="73"/>
      <c r="G190" s="73"/>
      <c r="H190" s="71"/>
      <c r="I190" s="73"/>
    </row>
    <row r="191" spans="1:12">
      <c r="D191" s="71"/>
      <c r="E191" s="71"/>
      <c r="F191" s="73"/>
      <c r="G191" s="73"/>
      <c r="H191" s="71"/>
      <c r="I191" s="73"/>
    </row>
    <row r="192" spans="1:12">
      <c r="D192" s="71"/>
      <c r="E192" s="71"/>
      <c r="F192" s="73"/>
      <c r="G192" s="73"/>
      <c r="H192" s="71"/>
      <c r="I192" s="73"/>
    </row>
    <row r="193" spans="4:9">
      <c r="D193" s="71"/>
      <c r="E193" s="71"/>
      <c r="F193" s="71"/>
      <c r="G193" s="71"/>
      <c r="H193" s="71"/>
      <c r="I193" s="71"/>
    </row>
    <row r="194" spans="4:9">
      <c r="I194" s="71"/>
    </row>
  </sheetData>
  <sheetProtection formatCells="0" insertColumns="0" insertRows="0" deleteColumns="0" deleteRows="0"/>
  <mergeCells count="11">
    <mergeCell ref="A1:H1"/>
    <mergeCell ref="A2:J2"/>
    <mergeCell ref="A3:B4"/>
    <mergeCell ref="D3:D4"/>
    <mergeCell ref="E3:E4"/>
    <mergeCell ref="F3:F4"/>
    <mergeCell ref="G3:G4"/>
    <mergeCell ref="H3:H4"/>
    <mergeCell ref="I3:I4"/>
    <mergeCell ref="J3:J4"/>
    <mergeCell ref="C3:C4"/>
  </mergeCells>
  <printOptions horizontalCentered="1"/>
  <pageMargins left="0.7" right="0.53" top="0.98" bottom="0.75" header="0.3" footer="0.3"/>
  <pageSetup paperSize="9" orientation="landscape" r:id="rId1"/>
  <ignoredErrors>
    <ignoredError sqref="C113:C1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83"/>
  <sheetViews>
    <sheetView zoomScaleNormal="100" workbookViewId="0">
      <pane xSplit="2" ySplit="4" topLeftCell="C168" activePane="bottomRight" state="frozen"/>
      <selection pane="topRight" activeCell="G159" sqref="G159"/>
      <selection pane="bottomLeft" activeCell="G159" sqref="G159"/>
      <selection pane="bottomRight" sqref="A1:G1"/>
    </sheetView>
  </sheetViews>
  <sheetFormatPr defaultColWidth="9.1796875" defaultRowHeight="13"/>
  <cols>
    <col min="1" max="2" width="6.81640625" style="65" customWidth="1"/>
    <col min="3" max="8" width="15.81640625" style="65" customWidth="1"/>
    <col min="9" max="16384" width="9.1796875" style="65"/>
  </cols>
  <sheetData>
    <row r="1" spans="1:8" ht="14.25" customHeight="1">
      <c r="A1" s="716" t="s">
        <v>174</v>
      </c>
      <c r="B1" s="716"/>
      <c r="C1" s="716"/>
      <c r="D1" s="716"/>
      <c r="E1" s="716"/>
      <c r="F1" s="716"/>
      <c r="G1" s="716"/>
    </row>
    <row r="2" spans="1:8" ht="12.75" customHeight="1">
      <c r="A2" s="750" t="s">
        <v>97</v>
      </c>
      <c r="B2" s="750"/>
      <c r="C2" s="750"/>
      <c r="D2" s="750"/>
      <c r="E2" s="750"/>
      <c r="F2" s="750"/>
      <c r="G2" s="750"/>
      <c r="H2" s="750"/>
    </row>
    <row r="3" spans="1:8" s="68" customFormat="1" ht="22.5" customHeight="1">
      <c r="A3" s="735" t="s">
        <v>98</v>
      </c>
      <c r="B3" s="739"/>
      <c r="C3" s="753" t="s">
        <v>175</v>
      </c>
      <c r="D3" s="754"/>
      <c r="E3" s="755"/>
      <c r="F3" s="755"/>
      <c r="G3" s="755"/>
      <c r="H3" s="743" t="s">
        <v>176</v>
      </c>
    </row>
    <row r="4" spans="1:8" s="68" customFormat="1" ht="22.5" customHeight="1">
      <c r="A4" s="740"/>
      <c r="B4" s="741"/>
      <c r="C4" s="444" t="s">
        <v>102</v>
      </c>
      <c r="D4" s="672" t="s">
        <v>177</v>
      </c>
      <c r="E4" s="673" t="s">
        <v>178</v>
      </c>
      <c r="F4" s="673" t="s">
        <v>179</v>
      </c>
      <c r="G4" s="673" t="s">
        <v>180</v>
      </c>
      <c r="H4" s="744"/>
    </row>
    <row r="5" spans="1:8" ht="14.5">
      <c r="A5" s="471">
        <v>2011</v>
      </c>
      <c r="B5" s="454" t="s">
        <v>105</v>
      </c>
      <c r="C5" s="635" t="s">
        <v>181</v>
      </c>
      <c r="D5" s="635" t="s">
        <v>181</v>
      </c>
      <c r="E5" s="635" t="s">
        <v>181</v>
      </c>
      <c r="F5" s="635" t="s">
        <v>181</v>
      </c>
      <c r="G5" s="635" t="s">
        <v>181</v>
      </c>
      <c r="H5" s="172">
        <f>70+65</f>
        <v>135</v>
      </c>
    </row>
    <row r="6" spans="1:8" ht="14.5">
      <c r="A6" s="472"/>
      <c r="B6" s="455" t="s">
        <v>106</v>
      </c>
      <c r="C6" s="635" t="s">
        <v>181</v>
      </c>
      <c r="D6" s="635" t="s">
        <v>181</v>
      </c>
      <c r="E6" s="635" t="s">
        <v>181</v>
      </c>
      <c r="F6" s="635" t="s">
        <v>181</v>
      </c>
      <c r="G6" s="635" t="s">
        <v>181</v>
      </c>
      <c r="H6" s="145">
        <f>35+65</f>
        <v>100</v>
      </c>
    </row>
    <row r="7" spans="1:8" ht="14.5">
      <c r="A7" s="472"/>
      <c r="B7" s="455" t="s">
        <v>107</v>
      </c>
      <c r="C7" s="635" t="s">
        <v>181</v>
      </c>
      <c r="D7" s="635" t="s">
        <v>181</v>
      </c>
      <c r="E7" s="635" t="s">
        <v>181</v>
      </c>
      <c r="F7" s="635" t="s">
        <v>181</v>
      </c>
      <c r="G7" s="635" t="s">
        <v>181</v>
      </c>
      <c r="H7" s="145">
        <f>65+65</f>
        <v>130</v>
      </c>
    </row>
    <row r="8" spans="1:8" ht="14.5">
      <c r="A8" s="472"/>
      <c r="B8" s="455" t="s">
        <v>108</v>
      </c>
      <c r="C8" s="166">
        <v>72</v>
      </c>
      <c r="D8" s="167">
        <v>72</v>
      </c>
      <c r="E8" s="635" t="s">
        <v>181</v>
      </c>
      <c r="F8" s="635" t="s">
        <v>181</v>
      </c>
      <c r="G8" s="635" t="s">
        <v>181</v>
      </c>
      <c r="H8" s="145">
        <f>72+65</f>
        <v>137</v>
      </c>
    </row>
    <row r="9" spans="1:8" ht="14.5">
      <c r="A9" s="472"/>
      <c r="B9" s="455" t="s">
        <v>109</v>
      </c>
      <c r="C9" s="166">
        <v>85</v>
      </c>
      <c r="D9" s="167">
        <v>85</v>
      </c>
      <c r="E9" s="635" t="s">
        <v>181</v>
      </c>
      <c r="F9" s="635" t="s">
        <v>181</v>
      </c>
      <c r="G9" s="635" t="s">
        <v>181</v>
      </c>
      <c r="H9" s="145">
        <f>157+65</f>
        <v>222</v>
      </c>
    </row>
    <row r="10" spans="1:8" ht="14.5">
      <c r="A10" s="472"/>
      <c r="B10" s="455" t="s">
        <v>110</v>
      </c>
      <c r="C10" s="166">
        <v>82</v>
      </c>
      <c r="D10" s="167">
        <v>82</v>
      </c>
      <c r="E10" s="635" t="s">
        <v>181</v>
      </c>
      <c r="F10" s="635" t="s">
        <v>181</v>
      </c>
      <c r="G10" s="635" t="s">
        <v>181</v>
      </c>
      <c r="H10" s="145">
        <f>239+65</f>
        <v>304</v>
      </c>
    </row>
    <row r="11" spans="1:8" ht="14.5">
      <c r="A11" s="472"/>
      <c r="B11" s="455" t="s">
        <v>111</v>
      </c>
      <c r="C11" s="166">
        <v>71</v>
      </c>
      <c r="D11" s="167">
        <v>71</v>
      </c>
      <c r="E11" s="635" t="s">
        <v>181</v>
      </c>
      <c r="F11" s="635" t="s">
        <v>181</v>
      </c>
      <c r="G11" s="635" t="s">
        <v>181</v>
      </c>
      <c r="H11" s="145">
        <f>238+65</f>
        <v>303</v>
      </c>
    </row>
    <row r="12" spans="1:8" ht="14.5">
      <c r="A12" s="472"/>
      <c r="B12" s="455" t="s">
        <v>112</v>
      </c>
      <c r="C12" s="166">
        <v>181</v>
      </c>
      <c r="D12" s="167">
        <v>85</v>
      </c>
      <c r="E12" s="635" t="s">
        <v>181</v>
      </c>
      <c r="F12" s="635" t="s">
        <v>181</v>
      </c>
      <c r="G12" s="139">
        <v>96</v>
      </c>
      <c r="H12" s="145">
        <f>238+96</f>
        <v>334</v>
      </c>
    </row>
    <row r="13" spans="1:8" ht="14.5">
      <c r="A13" s="472"/>
      <c r="B13" s="455" t="s">
        <v>113</v>
      </c>
      <c r="C13" s="166">
        <v>100</v>
      </c>
      <c r="D13" s="167">
        <v>100</v>
      </c>
      <c r="E13" s="635" t="s">
        <v>181</v>
      </c>
      <c r="F13" s="635" t="s">
        <v>181</v>
      </c>
      <c r="G13" s="635" t="s">
        <v>181</v>
      </c>
      <c r="H13" s="145">
        <f>256+96</f>
        <v>352</v>
      </c>
    </row>
    <row r="14" spans="1:8" ht="14.5">
      <c r="A14" s="472"/>
      <c r="B14" s="455" t="s">
        <v>114</v>
      </c>
      <c r="C14" s="166">
        <v>100</v>
      </c>
      <c r="D14" s="167">
        <v>100</v>
      </c>
      <c r="E14" s="635" t="s">
        <v>181</v>
      </c>
      <c r="F14" s="635" t="s">
        <v>181</v>
      </c>
      <c r="G14" s="635" t="s">
        <v>181</v>
      </c>
      <c r="H14" s="145">
        <f>285+96</f>
        <v>381</v>
      </c>
    </row>
    <row r="15" spans="1:8" ht="14.5">
      <c r="A15" s="472"/>
      <c r="B15" s="455" t="s">
        <v>115</v>
      </c>
      <c r="C15" s="166">
        <v>200</v>
      </c>
      <c r="D15" s="167">
        <v>200</v>
      </c>
      <c r="E15" s="635" t="s">
        <v>181</v>
      </c>
      <c r="F15" s="635" t="s">
        <v>181</v>
      </c>
      <c r="G15" s="635" t="s">
        <v>181</v>
      </c>
      <c r="H15" s="145">
        <f>400+96</f>
        <v>496</v>
      </c>
    </row>
    <row r="16" spans="1:8" ht="14.5">
      <c r="A16" s="473"/>
      <c r="B16" s="456" t="s">
        <v>116</v>
      </c>
      <c r="C16" s="168">
        <v>100</v>
      </c>
      <c r="D16" s="169">
        <v>100</v>
      </c>
      <c r="E16" s="636" t="s">
        <v>181</v>
      </c>
      <c r="F16" s="636" t="s">
        <v>181</v>
      </c>
      <c r="G16" s="636" t="s">
        <v>181</v>
      </c>
      <c r="H16" s="147">
        <f>400+96</f>
        <v>496</v>
      </c>
    </row>
    <row r="17" spans="1:8" ht="14.5">
      <c r="A17" s="472">
        <v>2012</v>
      </c>
      <c r="B17" s="455" t="s">
        <v>105</v>
      </c>
      <c r="C17" s="635" t="s">
        <v>181</v>
      </c>
      <c r="D17" s="635" t="s">
        <v>181</v>
      </c>
      <c r="E17" s="635" t="s">
        <v>181</v>
      </c>
      <c r="F17" s="635" t="s">
        <v>181</v>
      </c>
      <c r="G17" s="635" t="s">
        <v>181</v>
      </c>
      <c r="H17" s="145">
        <f>300+96</f>
        <v>396</v>
      </c>
    </row>
    <row r="18" spans="1:8" ht="14.5">
      <c r="A18" s="472"/>
      <c r="B18" s="455" t="s">
        <v>106</v>
      </c>
      <c r="C18" s="635" t="s">
        <v>181</v>
      </c>
      <c r="D18" s="635" t="s">
        <v>181</v>
      </c>
      <c r="E18" s="635" t="s">
        <v>181</v>
      </c>
      <c r="F18" s="635" t="s">
        <v>181</v>
      </c>
      <c r="G18" s="635" t="s">
        <v>181</v>
      </c>
      <c r="H18" s="145">
        <f>100+96</f>
        <v>196</v>
      </c>
    </row>
    <row r="19" spans="1:8" ht="14.5">
      <c r="A19" s="472"/>
      <c r="B19" s="455" t="s">
        <v>107</v>
      </c>
      <c r="C19" s="166">
        <v>200</v>
      </c>
      <c r="D19" s="167">
        <v>200</v>
      </c>
      <c r="E19" s="635" t="s">
        <v>181</v>
      </c>
      <c r="F19" s="635" t="s">
        <v>181</v>
      </c>
      <c r="G19" s="635" t="s">
        <v>181</v>
      </c>
      <c r="H19" s="145">
        <f>200+96</f>
        <v>296</v>
      </c>
    </row>
    <row r="20" spans="1:8" ht="14.5">
      <c r="A20" s="472"/>
      <c r="B20" s="455" t="s">
        <v>108</v>
      </c>
      <c r="C20" s="166">
        <v>200</v>
      </c>
      <c r="D20" s="167">
        <v>200</v>
      </c>
      <c r="E20" s="635" t="s">
        <v>181</v>
      </c>
      <c r="F20" s="635" t="s">
        <v>181</v>
      </c>
      <c r="G20" s="635" t="s">
        <v>181</v>
      </c>
      <c r="H20" s="145">
        <f>400+96</f>
        <v>496</v>
      </c>
    </row>
    <row r="21" spans="1:8" ht="14.5">
      <c r="A21" s="472"/>
      <c r="B21" s="455" t="s">
        <v>109</v>
      </c>
      <c r="C21" s="166">
        <v>100</v>
      </c>
      <c r="D21" s="167">
        <v>100</v>
      </c>
      <c r="E21" s="635" t="s">
        <v>181</v>
      </c>
      <c r="F21" s="635" t="s">
        <v>181</v>
      </c>
      <c r="G21" s="635" t="s">
        <v>181</v>
      </c>
      <c r="H21" s="145">
        <f>500+96</f>
        <v>596</v>
      </c>
    </row>
    <row r="22" spans="1:8" ht="14.5">
      <c r="A22" s="472"/>
      <c r="B22" s="455" t="s">
        <v>110</v>
      </c>
      <c r="C22" s="166">
        <v>200</v>
      </c>
      <c r="D22" s="167">
        <v>200</v>
      </c>
      <c r="E22" s="635" t="s">
        <v>181</v>
      </c>
      <c r="F22" s="635" t="s">
        <v>181</v>
      </c>
      <c r="G22" s="635" t="s">
        <v>181</v>
      </c>
      <c r="H22" s="145">
        <f>500+96</f>
        <v>596</v>
      </c>
    </row>
    <row r="23" spans="1:8" ht="14.5">
      <c r="A23" s="472"/>
      <c r="B23" s="455" t="s">
        <v>111</v>
      </c>
      <c r="C23" s="166">
        <v>100</v>
      </c>
      <c r="D23" s="167">
        <v>100</v>
      </c>
      <c r="E23" s="635" t="s">
        <v>181</v>
      </c>
      <c r="F23" s="635" t="s">
        <v>181</v>
      </c>
      <c r="G23" s="635" t="s">
        <v>181</v>
      </c>
      <c r="H23" s="145">
        <f>400+96</f>
        <v>496</v>
      </c>
    </row>
    <row r="24" spans="1:8" ht="14.5">
      <c r="A24" s="472"/>
      <c r="B24" s="455" t="s">
        <v>112</v>
      </c>
      <c r="C24" s="166">
        <v>200</v>
      </c>
      <c r="D24" s="167">
        <v>100</v>
      </c>
      <c r="E24" s="635" t="s">
        <v>181</v>
      </c>
      <c r="F24" s="635" t="s">
        <v>181</v>
      </c>
      <c r="G24" s="139">
        <v>100</v>
      </c>
      <c r="H24" s="145">
        <f>400+100</f>
        <v>500</v>
      </c>
    </row>
    <row r="25" spans="1:8" ht="14.5">
      <c r="A25" s="472"/>
      <c r="B25" s="455" t="s">
        <v>113</v>
      </c>
      <c r="C25" s="166">
        <v>100</v>
      </c>
      <c r="D25" s="167">
        <v>100</v>
      </c>
      <c r="E25" s="635" t="s">
        <v>181</v>
      </c>
      <c r="F25" s="635" t="s">
        <v>181</v>
      </c>
      <c r="G25" s="635" t="s">
        <v>181</v>
      </c>
      <c r="H25" s="145">
        <f>300+100</f>
        <v>400</v>
      </c>
    </row>
    <row r="26" spans="1:8" ht="14.5">
      <c r="A26" s="472"/>
      <c r="B26" s="455" t="s">
        <v>114</v>
      </c>
      <c r="C26" s="166">
        <v>100</v>
      </c>
      <c r="D26" s="167">
        <v>100</v>
      </c>
      <c r="E26" s="635" t="s">
        <v>181</v>
      </c>
      <c r="F26" s="635" t="s">
        <v>181</v>
      </c>
      <c r="G26" s="635" t="s">
        <v>181</v>
      </c>
      <c r="H26" s="145">
        <f>300+100</f>
        <v>400</v>
      </c>
    </row>
    <row r="27" spans="1:8" ht="14.5">
      <c r="A27" s="472"/>
      <c r="B27" s="455" t="s">
        <v>115</v>
      </c>
      <c r="C27" s="166">
        <v>200</v>
      </c>
      <c r="D27" s="167">
        <v>200</v>
      </c>
      <c r="E27" s="635" t="s">
        <v>181</v>
      </c>
      <c r="F27" s="635" t="s">
        <v>181</v>
      </c>
      <c r="G27" s="635" t="s">
        <v>181</v>
      </c>
      <c r="H27" s="145">
        <f>400+100</f>
        <v>500</v>
      </c>
    </row>
    <row r="28" spans="1:8" ht="14.5">
      <c r="A28" s="472"/>
      <c r="B28" s="455" t="s">
        <v>116</v>
      </c>
      <c r="C28" s="166">
        <v>100</v>
      </c>
      <c r="D28" s="167">
        <v>100</v>
      </c>
      <c r="E28" s="636" t="s">
        <v>181</v>
      </c>
      <c r="F28" s="636" t="s">
        <v>181</v>
      </c>
      <c r="G28" s="636" t="s">
        <v>181</v>
      </c>
      <c r="H28" s="145">
        <f>400+100</f>
        <v>500</v>
      </c>
    </row>
    <row r="29" spans="1:8" ht="14.5">
      <c r="A29" s="471">
        <v>2013</v>
      </c>
      <c r="B29" s="454" t="s">
        <v>105</v>
      </c>
      <c r="C29" s="170" t="s">
        <v>181</v>
      </c>
      <c r="D29" s="171" t="s">
        <v>181</v>
      </c>
      <c r="E29" s="166" t="s">
        <v>181</v>
      </c>
      <c r="F29" s="171" t="s">
        <v>181</v>
      </c>
      <c r="G29" s="136" t="s">
        <v>181</v>
      </c>
      <c r="H29" s="172">
        <f>300+100</f>
        <v>400</v>
      </c>
    </row>
    <row r="30" spans="1:8" ht="14.5">
      <c r="A30" s="472"/>
      <c r="B30" s="455" t="s">
        <v>106</v>
      </c>
      <c r="C30" s="166">
        <v>100</v>
      </c>
      <c r="D30" s="167">
        <v>100</v>
      </c>
      <c r="E30" s="635" t="s">
        <v>181</v>
      </c>
      <c r="F30" s="635" t="s">
        <v>181</v>
      </c>
      <c r="G30" s="635" t="s">
        <v>181</v>
      </c>
      <c r="H30" s="145">
        <f>200+100</f>
        <v>300</v>
      </c>
    </row>
    <row r="31" spans="1:8" ht="14.5">
      <c r="A31" s="472"/>
      <c r="B31" s="455" t="s">
        <v>107</v>
      </c>
      <c r="C31" s="166">
        <v>200</v>
      </c>
      <c r="D31" s="167">
        <v>200</v>
      </c>
      <c r="E31" s="635" t="s">
        <v>181</v>
      </c>
      <c r="F31" s="635" t="s">
        <v>181</v>
      </c>
      <c r="G31" s="635" t="s">
        <v>181</v>
      </c>
      <c r="H31" s="145">
        <f>300+100</f>
        <v>400</v>
      </c>
    </row>
    <row r="32" spans="1:8" ht="14.5">
      <c r="A32" s="472"/>
      <c r="B32" s="455" t="s">
        <v>108</v>
      </c>
      <c r="C32" s="166">
        <v>96</v>
      </c>
      <c r="D32" s="167">
        <v>96</v>
      </c>
      <c r="E32" s="635" t="s">
        <v>181</v>
      </c>
      <c r="F32" s="635" t="s">
        <v>181</v>
      </c>
      <c r="G32" s="635" t="s">
        <v>181</v>
      </c>
      <c r="H32" s="145">
        <f>396+100</f>
        <v>496</v>
      </c>
    </row>
    <row r="33" spans="1:8" ht="14.5">
      <c r="A33" s="472"/>
      <c r="B33" s="455" t="s">
        <v>109</v>
      </c>
      <c r="C33" s="166">
        <v>183</v>
      </c>
      <c r="D33" s="167">
        <v>183</v>
      </c>
      <c r="E33" s="635" t="s">
        <v>181</v>
      </c>
      <c r="F33" s="635" t="s">
        <v>181</v>
      </c>
      <c r="G33" s="635" t="s">
        <v>181</v>
      </c>
      <c r="H33" s="145">
        <f>479+100</f>
        <v>579</v>
      </c>
    </row>
    <row r="34" spans="1:8" ht="14.5">
      <c r="A34" s="472"/>
      <c r="B34" s="455" t="s">
        <v>110</v>
      </c>
      <c r="C34" s="166">
        <v>200</v>
      </c>
      <c r="D34" s="167">
        <v>200</v>
      </c>
      <c r="E34" s="635" t="s">
        <v>181</v>
      </c>
      <c r="F34" s="635" t="s">
        <v>181</v>
      </c>
      <c r="G34" s="635" t="s">
        <v>181</v>
      </c>
      <c r="H34" s="145">
        <f>479+100</f>
        <v>579</v>
      </c>
    </row>
    <row r="35" spans="1:8" ht="14.5">
      <c r="A35" s="472"/>
      <c r="B35" s="455" t="s">
        <v>117</v>
      </c>
      <c r="C35" s="166">
        <v>100</v>
      </c>
      <c r="D35" s="635" t="s">
        <v>181</v>
      </c>
      <c r="E35" s="635" t="s">
        <v>181</v>
      </c>
      <c r="F35" s="635" t="s">
        <v>181</v>
      </c>
      <c r="G35" s="139">
        <v>100</v>
      </c>
      <c r="H35" s="145">
        <f>383+100</f>
        <v>483</v>
      </c>
    </row>
    <row r="36" spans="1:8" ht="14.5">
      <c r="A36" s="472"/>
      <c r="B36" s="455" t="s">
        <v>112</v>
      </c>
      <c r="C36" s="166">
        <v>200</v>
      </c>
      <c r="D36" s="167">
        <v>200</v>
      </c>
      <c r="E36" s="635" t="s">
        <v>181</v>
      </c>
      <c r="F36" s="635" t="s">
        <v>181</v>
      </c>
      <c r="G36" s="635" t="s">
        <v>181</v>
      </c>
      <c r="H36" s="145">
        <f>400+100</f>
        <v>500</v>
      </c>
    </row>
    <row r="37" spans="1:8" ht="14.5">
      <c r="A37" s="472"/>
      <c r="B37" s="455" t="s">
        <v>113</v>
      </c>
      <c r="C37" s="166">
        <v>100</v>
      </c>
      <c r="D37" s="167">
        <v>100</v>
      </c>
      <c r="E37" s="635" t="s">
        <v>181</v>
      </c>
      <c r="F37" s="635" t="s">
        <v>181</v>
      </c>
      <c r="G37" s="635" t="s">
        <v>181</v>
      </c>
      <c r="H37" s="145">
        <f>300+100</f>
        <v>400</v>
      </c>
    </row>
    <row r="38" spans="1:8" ht="14.5">
      <c r="A38" s="472"/>
      <c r="B38" s="455" t="s">
        <v>114</v>
      </c>
      <c r="C38" s="166">
        <v>100</v>
      </c>
      <c r="D38" s="635" t="s">
        <v>181</v>
      </c>
      <c r="E38" s="635" t="s">
        <v>181</v>
      </c>
      <c r="F38" s="167">
        <v>100</v>
      </c>
      <c r="G38" s="635" t="s">
        <v>181</v>
      </c>
      <c r="H38" s="145">
        <v>400</v>
      </c>
    </row>
    <row r="39" spans="1:8" ht="14.5">
      <c r="A39" s="472"/>
      <c r="B39" s="455" t="s">
        <v>115</v>
      </c>
      <c r="C39" s="166">
        <v>200</v>
      </c>
      <c r="D39" s="167">
        <v>100</v>
      </c>
      <c r="E39" s="635" t="s">
        <v>181</v>
      </c>
      <c r="F39" s="167">
        <v>100</v>
      </c>
      <c r="G39" s="635" t="s">
        <v>181</v>
      </c>
      <c r="H39" s="145">
        <v>500</v>
      </c>
    </row>
    <row r="40" spans="1:8" ht="14.5">
      <c r="A40" s="473"/>
      <c r="B40" s="456" t="s">
        <v>116</v>
      </c>
      <c r="C40" s="168">
        <v>100</v>
      </c>
      <c r="D40" s="635" t="s">
        <v>181</v>
      </c>
      <c r="E40" s="168">
        <v>100</v>
      </c>
      <c r="F40" s="636" t="s">
        <v>181</v>
      </c>
      <c r="G40" s="636" t="s">
        <v>181</v>
      </c>
      <c r="H40" s="147">
        <v>500</v>
      </c>
    </row>
    <row r="41" spans="1:8" ht="14.5">
      <c r="A41" s="471">
        <v>2014</v>
      </c>
      <c r="B41" s="454" t="s">
        <v>105</v>
      </c>
      <c r="C41" s="170">
        <v>100</v>
      </c>
      <c r="D41" s="171">
        <v>100</v>
      </c>
      <c r="E41" s="635" t="s">
        <v>181</v>
      </c>
      <c r="F41" s="635" t="s">
        <v>181</v>
      </c>
      <c r="G41" s="635" t="s">
        <v>181</v>
      </c>
      <c r="H41" s="172">
        <v>600</v>
      </c>
    </row>
    <row r="42" spans="1:8" ht="14.5">
      <c r="A42" s="472"/>
      <c r="B42" s="455" t="s">
        <v>106</v>
      </c>
      <c r="C42" s="166">
        <v>100</v>
      </c>
      <c r="D42" s="635" t="s">
        <v>181</v>
      </c>
      <c r="E42" s="166">
        <v>100</v>
      </c>
      <c r="F42" s="635" t="s">
        <v>181</v>
      </c>
      <c r="G42" s="635" t="s">
        <v>181</v>
      </c>
      <c r="H42" s="145">
        <v>600</v>
      </c>
    </row>
    <row r="43" spans="1:8" ht="14.5">
      <c r="A43" s="472"/>
      <c r="B43" s="455" t="s">
        <v>107</v>
      </c>
      <c r="C43" s="166">
        <v>200</v>
      </c>
      <c r="D43" s="167">
        <v>100</v>
      </c>
      <c r="E43" s="635" t="s">
        <v>181</v>
      </c>
      <c r="F43" s="167">
        <v>100</v>
      </c>
      <c r="G43" s="635" t="s">
        <v>181</v>
      </c>
      <c r="H43" s="145">
        <v>800</v>
      </c>
    </row>
    <row r="44" spans="1:8" ht="14.5">
      <c r="A44" s="472"/>
      <c r="B44" s="455" t="s">
        <v>108</v>
      </c>
      <c r="C44" s="166">
        <v>100</v>
      </c>
      <c r="D44" s="167">
        <v>100</v>
      </c>
      <c r="E44" s="635" t="s">
        <v>181</v>
      </c>
      <c r="F44" s="635" t="s">
        <v>181</v>
      </c>
      <c r="G44" s="635" t="s">
        <v>181</v>
      </c>
      <c r="H44" s="145">
        <v>800</v>
      </c>
    </row>
    <row r="45" spans="1:8" ht="14.5">
      <c r="A45" s="472"/>
      <c r="B45" s="455" t="s">
        <v>109</v>
      </c>
      <c r="C45" s="166">
        <v>100</v>
      </c>
      <c r="D45" s="635" t="s">
        <v>181</v>
      </c>
      <c r="E45" s="166">
        <v>100</v>
      </c>
      <c r="F45" s="635" t="s">
        <v>181</v>
      </c>
      <c r="G45" s="635" t="s">
        <v>181</v>
      </c>
      <c r="H45" s="145">
        <v>900</v>
      </c>
    </row>
    <row r="46" spans="1:8" ht="14.5">
      <c r="A46" s="472"/>
      <c r="B46" s="455" t="s">
        <v>110</v>
      </c>
      <c r="C46" s="166">
        <v>100</v>
      </c>
      <c r="D46" s="167">
        <v>100</v>
      </c>
      <c r="E46" s="635" t="s">
        <v>181</v>
      </c>
      <c r="F46" s="635" t="s">
        <v>181</v>
      </c>
      <c r="G46" s="635" t="s">
        <v>181</v>
      </c>
      <c r="H46" s="145">
        <v>800</v>
      </c>
    </row>
    <row r="47" spans="1:8" ht="14.5">
      <c r="A47" s="472"/>
      <c r="B47" s="455" t="s">
        <v>117</v>
      </c>
      <c r="C47" s="166">
        <v>100</v>
      </c>
      <c r="D47" s="635" t="s">
        <v>181</v>
      </c>
      <c r="E47" s="635" t="s">
        <v>181</v>
      </c>
      <c r="F47" s="167">
        <v>100</v>
      </c>
      <c r="G47" s="635" t="s">
        <v>181</v>
      </c>
      <c r="H47" s="145">
        <v>600</v>
      </c>
    </row>
    <row r="48" spans="1:8" ht="14.5">
      <c r="A48" s="472"/>
      <c r="B48" s="455" t="s">
        <v>112</v>
      </c>
      <c r="C48" s="166">
        <v>100</v>
      </c>
      <c r="D48" s="635" t="s">
        <v>181</v>
      </c>
      <c r="E48" s="635" t="s">
        <v>181</v>
      </c>
      <c r="F48" s="635" t="s">
        <v>181</v>
      </c>
      <c r="G48" s="139">
        <v>100</v>
      </c>
      <c r="H48" s="145">
        <v>500</v>
      </c>
    </row>
    <row r="49" spans="1:8" ht="14.5">
      <c r="A49" s="472"/>
      <c r="B49" s="455" t="s">
        <v>113</v>
      </c>
      <c r="C49" s="166">
        <v>200</v>
      </c>
      <c r="D49" s="167">
        <v>100</v>
      </c>
      <c r="E49" s="166">
        <v>100</v>
      </c>
      <c r="F49" s="635" t="s">
        <v>181</v>
      </c>
      <c r="G49" s="635" t="s">
        <v>181</v>
      </c>
      <c r="H49" s="145">
        <v>600</v>
      </c>
    </row>
    <row r="50" spans="1:8" ht="14.5">
      <c r="A50" s="472"/>
      <c r="B50" s="455" t="s">
        <v>114</v>
      </c>
      <c r="C50" s="166">
        <v>100</v>
      </c>
      <c r="D50" s="167">
        <v>100</v>
      </c>
      <c r="E50" s="635" t="s">
        <v>181</v>
      </c>
      <c r="F50" s="635" t="s">
        <v>181</v>
      </c>
      <c r="G50" s="635" t="s">
        <v>181</v>
      </c>
      <c r="H50" s="145">
        <v>700</v>
      </c>
    </row>
    <row r="51" spans="1:8" ht="14.5">
      <c r="A51" s="472"/>
      <c r="B51" s="455" t="s">
        <v>115</v>
      </c>
      <c r="C51" s="166">
        <v>200</v>
      </c>
      <c r="D51" s="167">
        <v>100</v>
      </c>
      <c r="E51" s="166">
        <v>100</v>
      </c>
      <c r="F51" s="635" t="s">
        <v>181</v>
      </c>
      <c r="G51" s="635" t="s">
        <v>181</v>
      </c>
      <c r="H51" s="145">
        <v>800</v>
      </c>
    </row>
    <row r="52" spans="1:8" ht="14.5">
      <c r="A52" s="473"/>
      <c r="B52" s="456" t="s">
        <v>116</v>
      </c>
      <c r="C52" s="168">
        <v>100</v>
      </c>
      <c r="D52" s="636" t="s">
        <v>181</v>
      </c>
      <c r="E52" s="636" t="s">
        <v>181</v>
      </c>
      <c r="F52" s="169">
        <v>100</v>
      </c>
      <c r="G52" s="636" t="s">
        <v>181</v>
      </c>
      <c r="H52" s="147">
        <v>700</v>
      </c>
    </row>
    <row r="53" spans="1:8" ht="14.5">
      <c r="A53" s="472">
        <v>2015</v>
      </c>
      <c r="B53" s="455" t="s">
        <v>105</v>
      </c>
      <c r="C53" s="635" t="s">
        <v>181</v>
      </c>
      <c r="D53" s="635" t="s">
        <v>181</v>
      </c>
      <c r="E53" s="635" t="s">
        <v>181</v>
      </c>
      <c r="F53" s="635" t="s">
        <v>181</v>
      </c>
      <c r="G53" s="635" t="s">
        <v>181</v>
      </c>
      <c r="H53" s="145">
        <v>600</v>
      </c>
    </row>
    <row r="54" spans="1:8" ht="14.5">
      <c r="A54" s="472"/>
      <c r="B54" s="450" t="s">
        <v>106</v>
      </c>
      <c r="C54" s="166">
        <v>100</v>
      </c>
      <c r="D54" s="635" t="s">
        <v>181</v>
      </c>
      <c r="E54" s="635" t="s">
        <v>181</v>
      </c>
      <c r="F54" s="166">
        <v>100</v>
      </c>
      <c r="G54" s="635" t="s">
        <v>181</v>
      </c>
      <c r="H54" s="139">
        <v>600</v>
      </c>
    </row>
    <row r="55" spans="1:8" ht="14.5">
      <c r="A55" s="472"/>
      <c r="B55" s="450" t="s">
        <v>107</v>
      </c>
      <c r="C55" s="166">
        <v>100</v>
      </c>
      <c r="D55" s="167">
        <v>100</v>
      </c>
      <c r="E55" s="635" t="s">
        <v>181</v>
      </c>
      <c r="F55" s="635" t="s">
        <v>181</v>
      </c>
      <c r="G55" s="635" t="s">
        <v>181</v>
      </c>
      <c r="H55" s="145">
        <v>600</v>
      </c>
    </row>
    <row r="56" spans="1:8" ht="14.5">
      <c r="A56" s="472"/>
      <c r="B56" s="450" t="s">
        <v>108</v>
      </c>
      <c r="C56" s="166">
        <v>100</v>
      </c>
      <c r="D56" s="635" t="s">
        <v>181</v>
      </c>
      <c r="E56" s="635" t="s">
        <v>181</v>
      </c>
      <c r="F56" s="635" t="s">
        <v>181</v>
      </c>
      <c r="G56" s="139">
        <v>100</v>
      </c>
      <c r="H56" s="139">
        <v>600</v>
      </c>
    </row>
    <row r="57" spans="1:8" ht="14.5">
      <c r="A57" s="472"/>
      <c r="B57" s="450" t="s">
        <v>109</v>
      </c>
      <c r="C57" s="166">
        <v>100</v>
      </c>
      <c r="D57" s="635" t="s">
        <v>181</v>
      </c>
      <c r="E57" s="166">
        <v>100</v>
      </c>
      <c r="F57" s="635" t="s">
        <v>181</v>
      </c>
      <c r="G57" s="635" t="s">
        <v>181</v>
      </c>
      <c r="H57" s="139">
        <v>600</v>
      </c>
    </row>
    <row r="58" spans="1:8" ht="14.5">
      <c r="A58" s="472"/>
      <c r="B58" s="450" t="s">
        <v>110</v>
      </c>
      <c r="C58" s="166">
        <v>100</v>
      </c>
      <c r="D58" s="166">
        <v>100</v>
      </c>
      <c r="E58" s="635" t="s">
        <v>181</v>
      </c>
      <c r="F58" s="635" t="s">
        <v>181</v>
      </c>
      <c r="G58" s="635" t="s">
        <v>181</v>
      </c>
      <c r="H58" s="139">
        <v>600</v>
      </c>
    </row>
    <row r="59" spans="1:8" ht="14.5">
      <c r="A59" s="472"/>
      <c r="B59" s="450" t="s">
        <v>117</v>
      </c>
      <c r="C59" s="166">
        <v>100</v>
      </c>
      <c r="D59" s="635" t="s">
        <v>181</v>
      </c>
      <c r="E59" s="166">
        <v>100</v>
      </c>
      <c r="F59" s="635" t="s">
        <v>181</v>
      </c>
      <c r="G59" s="635" t="s">
        <v>181</v>
      </c>
      <c r="H59" s="145">
        <v>700</v>
      </c>
    </row>
    <row r="60" spans="1:8" ht="14.5">
      <c r="A60" s="472"/>
      <c r="B60" s="450" t="s">
        <v>112</v>
      </c>
      <c r="C60" s="166">
        <v>100</v>
      </c>
      <c r="D60" s="635" t="s">
        <v>181</v>
      </c>
      <c r="E60" s="635" t="s">
        <v>181</v>
      </c>
      <c r="F60" s="166">
        <v>100</v>
      </c>
      <c r="G60" s="635" t="s">
        <v>181</v>
      </c>
      <c r="H60" s="139">
        <v>700</v>
      </c>
    </row>
    <row r="61" spans="1:8" ht="14.5">
      <c r="A61" s="472"/>
      <c r="B61" s="450" t="s">
        <v>113</v>
      </c>
      <c r="C61" s="166">
        <v>100</v>
      </c>
      <c r="D61" s="166">
        <v>100</v>
      </c>
      <c r="E61" s="635" t="s">
        <v>181</v>
      </c>
      <c r="F61" s="635" t="s">
        <v>181</v>
      </c>
      <c r="G61" s="635" t="s">
        <v>181</v>
      </c>
      <c r="H61" s="139">
        <v>700</v>
      </c>
    </row>
    <row r="62" spans="1:8" ht="14.5">
      <c r="A62" s="472"/>
      <c r="B62" s="450" t="s">
        <v>114</v>
      </c>
      <c r="C62" s="166">
        <v>100</v>
      </c>
      <c r="D62" s="635" t="s">
        <v>181</v>
      </c>
      <c r="E62" s="635" t="s">
        <v>181</v>
      </c>
      <c r="F62" s="635" t="s">
        <v>181</v>
      </c>
      <c r="G62" s="166">
        <v>25</v>
      </c>
      <c r="H62" s="145">
        <v>625</v>
      </c>
    </row>
    <row r="63" spans="1:8" ht="14.5">
      <c r="A63" s="472"/>
      <c r="B63" s="450" t="s">
        <v>115</v>
      </c>
      <c r="C63" s="166">
        <v>100</v>
      </c>
      <c r="D63" s="635" t="s">
        <v>181</v>
      </c>
      <c r="E63" s="166">
        <v>100</v>
      </c>
      <c r="F63" s="166" t="s">
        <v>181</v>
      </c>
      <c r="G63" s="166" t="s">
        <v>181</v>
      </c>
      <c r="H63" s="145">
        <v>525</v>
      </c>
    </row>
    <row r="64" spans="1:8" ht="14.5">
      <c r="A64" s="472"/>
      <c r="B64" s="450" t="s">
        <v>116</v>
      </c>
      <c r="C64" s="166">
        <v>100</v>
      </c>
      <c r="D64" s="166">
        <v>100</v>
      </c>
      <c r="E64" s="166" t="s">
        <v>181</v>
      </c>
      <c r="F64" s="166" t="s">
        <v>181</v>
      </c>
      <c r="G64" s="166" t="s">
        <v>181</v>
      </c>
      <c r="H64" s="145">
        <v>525</v>
      </c>
    </row>
    <row r="65" spans="1:9" ht="14.5">
      <c r="A65" s="471">
        <v>2016</v>
      </c>
      <c r="B65" s="454" t="s">
        <v>105</v>
      </c>
      <c r="C65" s="170">
        <v>100</v>
      </c>
      <c r="D65" s="171">
        <v>100</v>
      </c>
      <c r="E65" s="170" t="s">
        <v>181</v>
      </c>
      <c r="F65" s="171" t="s">
        <v>181</v>
      </c>
      <c r="G65" s="170" t="s">
        <v>181</v>
      </c>
      <c r="H65" s="172">
        <v>525</v>
      </c>
      <c r="I65" s="74"/>
    </row>
    <row r="66" spans="1:9" ht="14.5">
      <c r="A66" s="472"/>
      <c r="B66" s="455" t="s">
        <v>106</v>
      </c>
      <c r="C66" s="166">
        <v>100</v>
      </c>
      <c r="D66" s="167">
        <v>100</v>
      </c>
      <c r="E66" s="166" t="s">
        <v>181</v>
      </c>
      <c r="F66" s="167" t="s">
        <v>181</v>
      </c>
      <c r="G66" s="166" t="s">
        <v>181</v>
      </c>
      <c r="H66" s="145">
        <v>625</v>
      </c>
      <c r="I66" s="74"/>
    </row>
    <row r="67" spans="1:9" ht="14.5">
      <c r="A67" s="472"/>
      <c r="B67" s="455" t="s">
        <v>107</v>
      </c>
      <c r="C67" s="166">
        <v>100</v>
      </c>
      <c r="D67" s="167" t="s">
        <v>181</v>
      </c>
      <c r="E67" s="166">
        <v>100</v>
      </c>
      <c r="F67" s="167" t="s">
        <v>181</v>
      </c>
      <c r="G67" s="166" t="s">
        <v>181</v>
      </c>
      <c r="H67" s="145">
        <v>625</v>
      </c>
      <c r="I67" s="74"/>
    </row>
    <row r="68" spans="1:9" ht="14.5">
      <c r="A68" s="472"/>
      <c r="B68" s="455" t="s">
        <v>108</v>
      </c>
      <c r="C68" s="166">
        <v>150</v>
      </c>
      <c r="D68" s="167">
        <v>100</v>
      </c>
      <c r="E68" s="166" t="s">
        <v>181</v>
      </c>
      <c r="F68" s="167" t="s">
        <v>181</v>
      </c>
      <c r="G68" s="166">
        <v>50</v>
      </c>
      <c r="H68" s="145">
        <v>575</v>
      </c>
      <c r="I68" s="74"/>
    </row>
    <row r="69" spans="1:9" ht="14.5">
      <c r="A69" s="472"/>
      <c r="B69" s="455" t="s">
        <v>109</v>
      </c>
      <c r="C69" s="166">
        <v>20</v>
      </c>
      <c r="D69" s="167" t="s">
        <v>181</v>
      </c>
      <c r="E69" s="166" t="s">
        <v>181</v>
      </c>
      <c r="F69" s="167">
        <v>20</v>
      </c>
      <c r="G69" s="166" t="s">
        <v>181</v>
      </c>
      <c r="H69" s="145">
        <v>295</v>
      </c>
      <c r="I69" s="74"/>
    </row>
    <row r="70" spans="1:9" ht="14.5">
      <c r="A70" s="472"/>
      <c r="B70" s="455" t="s">
        <v>110</v>
      </c>
      <c r="C70" s="166">
        <v>100</v>
      </c>
      <c r="D70" s="167">
        <v>100</v>
      </c>
      <c r="E70" s="166" t="s">
        <v>181</v>
      </c>
      <c r="F70" s="167" t="s">
        <v>181</v>
      </c>
      <c r="G70" s="166" t="s">
        <v>181</v>
      </c>
      <c r="H70" s="145">
        <v>395</v>
      </c>
      <c r="I70" s="74"/>
    </row>
    <row r="71" spans="1:9" ht="14.5">
      <c r="A71" s="472"/>
      <c r="B71" s="455" t="s">
        <v>117</v>
      </c>
      <c r="C71" s="166">
        <v>100</v>
      </c>
      <c r="D71" s="167">
        <v>100</v>
      </c>
      <c r="E71" s="166" t="s">
        <v>181</v>
      </c>
      <c r="F71" s="167" t="s">
        <v>181</v>
      </c>
      <c r="G71" s="166" t="s">
        <v>181</v>
      </c>
      <c r="H71" s="145">
        <v>395</v>
      </c>
      <c r="I71" s="74"/>
    </row>
    <row r="72" spans="1:9" ht="14.5">
      <c r="A72" s="472"/>
      <c r="B72" s="455" t="s">
        <v>112</v>
      </c>
      <c r="C72" s="166">
        <v>160</v>
      </c>
      <c r="D72" s="167">
        <v>100</v>
      </c>
      <c r="E72" s="166">
        <v>60</v>
      </c>
      <c r="F72" s="167" t="s">
        <v>181</v>
      </c>
      <c r="G72" s="166" t="s">
        <v>181</v>
      </c>
      <c r="H72" s="145">
        <v>555</v>
      </c>
      <c r="I72" s="74"/>
    </row>
    <row r="73" spans="1:9" ht="14.5">
      <c r="A73" s="472"/>
      <c r="B73" s="455" t="s">
        <v>113</v>
      </c>
      <c r="C73" s="166">
        <v>100</v>
      </c>
      <c r="D73" s="167" t="s">
        <v>181</v>
      </c>
      <c r="E73" s="166">
        <v>100</v>
      </c>
      <c r="F73" s="167" t="s">
        <v>181</v>
      </c>
      <c r="G73" s="166" t="s">
        <v>181</v>
      </c>
      <c r="H73" s="145">
        <v>455</v>
      </c>
      <c r="I73" s="74"/>
    </row>
    <row r="74" spans="1:9" ht="14.5">
      <c r="A74" s="472"/>
      <c r="B74" s="455" t="s">
        <v>114</v>
      </c>
      <c r="C74" s="166">
        <v>38.200000000000003</v>
      </c>
      <c r="D74" s="167" t="s">
        <v>181</v>
      </c>
      <c r="E74" s="166" t="s">
        <v>181</v>
      </c>
      <c r="F74" s="167" t="s">
        <v>181</v>
      </c>
      <c r="G74" s="166">
        <v>38.200000000000003</v>
      </c>
      <c r="H74" s="145">
        <v>368</v>
      </c>
      <c r="I74" s="74"/>
    </row>
    <row r="75" spans="1:9" ht="14.5">
      <c r="A75" s="472"/>
      <c r="B75" s="455" t="s">
        <v>115</v>
      </c>
      <c r="C75" s="166">
        <v>105</v>
      </c>
      <c r="D75" s="167">
        <v>100</v>
      </c>
      <c r="E75" s="166" t="s">
        <v>181</v>
      </c>
      <c r="F75" s="167">
        <v>5</v>
      </c>
      <c r="G75" s="166" t="s">
        <v>181</v>
      </c>
      <c r="H75" s="145">
        <v>373.2</v>
      </c>
      <c r="I75" s="74"/>
    </row>
    <row r="76" spans="1:9" ht="14.5">
      <c r="A76" s="473"/>
      <c r="B76" s="456" t="s">
        <v>116</v>
      </c>
      <c r="C76" s="168">
        <v>100</v>
      </c>
      <c r="D76" s="169">
        <v>100</v>
      </c>
      <c r="E76" s="168" t="s">
        <v>181</v>
      </c>
      <c r="F76" s="169" t="s">
        <v>181</v>
      </c>
      <c r="G76" s="168" t="s">
        <v>181</v>
      </c>
      <c r="H76" s="147">
        <v>473.2</v>
      </c>
      <c r="I76" s="74"/>
    </row>
    <row r="77" spans="1:9" ht="14.5">
      <c r="A77" s="471">
        <v>2017</v>
      </c>
      <c r="B77" s="454" t="s">
        <v>105</v>
      </c>
      <c r="C77" s="170">
        <v>100</v>
      </c>
      <c r="D77" s="171">
        <v>100</v>
      </c>
      <c r="E77" s="170" t="s">
        <v>181</v>
      </c>
      <c r="F77" s="171" t="s">
        <v>181</v>
      </c>
      <c r="G77" s="170" t="s">
        <v>181</v>
      </c>
      <c r="H77" s="172">
        <v>573.20000000000005</v>
      </c>
      <c r="I77" s="74"/>
    </row>
    <row r="78" spans="1:9" ht="14.5">
      <c r="A78" s="472"/>
      <c r="B78" s="455" t="s">
        <v>106</v>
      </c>
      <c r="C78" s="166">
        <v>100</v>
      </c>
      <c r="D78" s="167">
        <v>100</v>
      </c>
      <c r="E78" s="166" t="s">
        <v>181</v>
      </c>
      <c r="F78" s="167" t="s">
        <v>181</v>
      </c>
      <c r="G78" s="166" t="s">
        <v>181</v>
      </c>
      <c r="H78" s="145">
        <v>493.2</v>
      </c>
      <c r="I78" s="74"/>
    </row>
    <row r="79" spans="1:9" ht="14.5">
      <c r="A79" s="472"/>
      <c r="B79" s="455" t="s">
        <v>107</v>
      </c>
      <c r="C79" s="166">
        <v>100</v>
      </c>
      <c r="D79" s="167" t="s">
        <v>181</v>
      </c>
      <c r="E79" s="166">
        <v>100</v>
      </c>
      <c r="F79" s="167" t="s">
        <v>181</v>
      </c>
      <c r="G79" s="166" t="s">
        <v>181</v>
      </c>
      <c r="H79" s="145">
        <v>393.2</v>
      </c>
      <c r="I79" s="74"/>
    </row>
    <row r="80" spans="1:9" ht="14.5">
      <c r="A80" s="472"/>
      <c r="B80" s="455" t="s">
        <v>108</v>
      </c>
      <c r="C80" s="166">
        <v>50</v>
      </c>
      <c r="D80" s="167" t="s">
        <v>181</v>
      </c>
      <c r="E80" s="166" t="s">
        <v>181</v>
      </c>
      <c r="F80" s="167" t="s">
        <v>181</v>
      </c>
      <c r="G80" s="166">
        <v>50</v>
      </c>
      <c r="H80" s="145">
        <v>293.2</v>
      </c>
      <c r="I80" s="74"/>
    </row>
    <row r="81" spans="1:9" ht="14.5">
      <c r="A81" s="472"/>
      <c r="B81" s="455" t="s">
        <v>109</v>
      </c>
      <c r="C81" s="166">
        <v>100</v>
      </c>
      <c r="D81" s="167">
        <v>100</v>
      </c>
      <c r="E81" s="166" t="s">
        <v>181</v>
      </c>
      <c r="F81" s="167" t="s">
        <v>181</v>
      </c>
      <c r="G81" s="166" t="s">
        <v>181</v>
      </c>
      <c r="H81" s="145">
        <v>293.2</v>
      </c>
      <c r="I81" s="74"/>
    </row>
    <row r="82" spans="1:9" ht="14.5">
      <c r="A82" s="472"/>
      <c r="B82" s="455" t="s">
        <v>110</v>
      </c>
      <c r="C82" s="166">
        <v>100</v>
      </c>
      <c r="D82" s="167">
        <v>100</v>
      </c>
      <c r="E82" s="166" t="s">
        <v>181</v>
      </c>
      <c r="F82" s="167" t="s">
        <v>181</v>
      </c>
      <c r="G82" s="166" t="s">
        <v>181</v>
      </c>
      <c r="H82" s="145">
        <v>393.2</v>
      </c>
      <c r="I82" s="74"/>
    </row>
    <row r="83" spans="1:9" ht="14.5">
      <c r="A83" s="472"/>
      <c r="B83" s="455" t="s">
        <v>117</v>
      </c>
      <c r="C83" s="166">
        <v>100</v>
      </c>
      <c r="D83" s="167">
        <v>100</v>
      </c>
      <c r="E83" s="166" t="s">
        <v>181</v>
      </c>
      <c r="F83" s="167" t="s">
        <v>181</v>
      </c>
      <c r="G83" s="166" t="s">
        <v>181</v>
      </c>
      <c r="H83" s="145">
        <v>493.2</v>
      </c>
      <c r="I83" s="74"/>
    </row>
    <row r="84" spans="1:9" ht="14.5">
      <c r="A84" s="472"/>
      <c r="B84" s="455" t="s">
        <v>112</v>
      </c>
      <c r="C84" s="166">
        <v>50</v>
      </c>
      <c r="D84" s="166" t="s">
        <v>181</v>
      </c>
      <c r="E84" s="166" t="s">
        <v>181</v>
      </c>
      <c r="F84" s="167">
        <v>50</v>
      </c>
      <c r="G84" s="166" t="s">
        <v>181</v>
      </c>
      <c r="H84" s="145">
        <v>438.2</v>
      </c>
      <c r="I84" s="74"/>
    </row>
    <row r="85" spans="1:9" ht="14.5">
      <c r="A85" s="472"/>
      <c r="B85" s="455" t="s">
        <v>113</v>
      </c>
      <c r="C85" s="166">
        <v>100</v>
      </c>
      <c r="D85" s="637">
        <v>100</v>
      </c>
      <c r="E85" s="166" t="s">
        <v>181</v>
      </c>
      <c r="F85" s="166" t="s">
        <v>181</v>
      </c>
      <c r="G85" s="166" t="s">
        <v>181</v>
      </c>
      <c r="H85" s="145">
        <v>338.2</v>
      </c>
      <c r="I85" s="74"/>
    </row>
    <row r="86" spans="1:9" ht="14.5">
      <c r="A86" s="472"/>
      <c r="B86" s="455" t="s">
        <v>114</v>
      </c>
      <c r="C86" s="166">
        <v>100</v>
      </c>
      <c r="D86" s="637">
        <v>100</v>
      </c>
      <c r="E86" s="166" t="s">
        <v>181</v>
      </c>
      <c r="F86" s="166" t="s">
        <v>181</v>
      </c>
      <c r="G86" s="166" t="s">
        <v>181</v>
      </c>
      <c r="H86" s="145">
        <v>332.4</v>
      </c>
      <c r="I86" s="74"/>
    </row>
    <row r="87" spans="1:9" ht="14.5">
      <c r="A87" s="472"/>
      <c r="B87" s="455" t="s">
        <v>115</v>
      </c>
      <c r="C87" s="166">
        <v>100</v>
      </c>
      <c r="D87" s="637">
        <v>100</v>
      </c>
      <c r="E87" s="166" t="s">
        <v>181</v>
      </c>
      <c r="F87" s="166" t="s">
        <v>181</v>
      </c>
      <c r="G87" s="166" t="s">
        <v>181</v>
      </c>
      <c r="H87" s="145">
        <v>332.4</v>
      </c>
      <c r="I87" s="74"/>
    </row>
    <row r="88" spans="1:9" ht="14.5">
      <c r="A88" s="473"/>
      <c r="B88" s="456" t="s">
        <v>116</v>
      </c>
      <c r="C88" s="168">
        <v>100</v>
      </c>
      <c r="D88" s="638">
        <v>100</v>
      </c>
      <c r="E88" s="168" t="s">
        <v>181</v>
      </c>
      <c r="F88" s="168" t="s">
        <v>181</v>
      </c>
      <c r="G88" s="168" t="s">
        <v>181</v>
      </c>
      <c r="H88" s="147">
        <v>432.4</v>
      </c>
    </row>
    <row r="89" spans="1:9" ht="14.5">
      <c r="A89" s="471">
        <v>2018</v>
      </c>
      <c r="B89" s="454" t="s">
        <v>105</v>
      </c>
      <c r="C89" s="170">
        <v>100</v>
      </c>
      <c r="D89" s="171">
        <v>100</v>
      </c>
      <c r="E89" s="170" t="s">
        <v>181</v>
      </c>
      <c r="F89" s="171" t="s">
        <v>181</v>
      </c>
      <c r="G89" s="170" t="s">
        <v>181</v>
      </c>
      <c r="H89" s="172">
        <v>432.4</v>
      </c>
    </row>
    <row r="90" spans="1:9" ht="14.5">
      <c r="A90" s="472"/>
      <c r="B90" s="455" t="s">
        <v>106</v>
      </c>
      <c r="C90" s="166">
        <v>100</v>
      </c>
      <c r="D90" s="167">
        <v>100</v>
      </c>
      <c r="E90" s="166" t="s">
        <v>181</v>
      </c>
      <c r="F90" s="167" t="s">
        <v>181</v>
      </c>
      <c r="G90" s="166" t="s">
        <v>181</v>
      </c>
      <c r="H90" s="145">
        <v>432.4</v>
      </c>
    </row>
    <row r="91" spans="1:9" ht="14.5">
      <c r="A91" s="472"/>
      <c r="B91" s="455" t="s">
        <v>107</v>
      </c>
      <c r="C91" s="166">
        <v>50</v>
      </c>
      <c r="D91" s="167" t="s">
        <v>181</v>
      </c>
      <c r="E91" s="166" t="s">
        <v>181</v>
      </c>
      <c r="F91" s="167" t="s">
        <v>181</v>
      </c>
      <c r="G91" s="166">
        <v>50</v>
      </c>
      <c r="H91" s="145">
        <v>382.4</v>
      </c>
    </row>
    <row r="92" spans="1:9" ht="14.5">
      <c r="A92" s="472"/>
      <c r="B92" s="455" t="s">
        <v>108</v>
      </c>
      <c r="C92" s="173">
        <v>100</v>
      </c>
      <c r="D92" s="166">
        <v>100</v>
      </c>
      <c r="E92" s="166" t="s">
        <v>181</v>
      </c>
      <c r="F92" s="167" t="s">
        <v>181</v>
      </c>
      <c r="G92" s="166" t="s">
        <v>181</v>
      </c>
      <c r="H92" s="145">
        <v>332.4</v>
      </c>
    </row>
    <row r="93" spans="1:9" ht="14.5">
      <c r="A93" s="472"/>
      <c r="B93" s="455" t="s">
        <v>109</v>
      </c>
      <c r="C93" s="173">
        <v>100</v>
      </c>
      <c r="D93" s="166">
        <v>100</v>
      </c>
      <c r="E93" s="166" t="s">
        <v>181</v>
      </c>
      <c r="F93" s="167" t="s">
        <v>181</v>
      </c>
      <c r="G93" s="166" t="s">
        <v>181</v>
      </c>
      <c r="H93" s="145">
        <v>282.39999999999998</v>
      </c>
    </row>
    <row r="94" spans="1:9" ht="14.5">
      <c r="A94" s="472"/>
      <c r="B94" s="455" t="s">
        <v>110</v>
      </c>
      <c r="C94" s="166">
        <v>50</v>
      </c>
      <c r="D94" s="166" t="s">
        <v>181</v>
      </c>
      <c r="E94" s="166" t="s">
        <v>181</v>
      </c>
      <c r="F94" s="167" t="s">
        <v>181</v>
      </c>
      <c r="G94" s="166">
        <v>50</v>
      </c>
      <c r="H94" s="139">
        <v>332.4</v>
      </c>
    </row>
    <row r="95" spans="1:9" ht="14.5">
      <c r="A95" s="472"/>
      <c r="B95" s="455" t="s">
        <v>117</v>
      </c>
      <c r="C95" s="166">
        <v>100</v>
      </c>
      <c r="D95" s="166">
        <v>100</v>
      </c>
      <c r="E95" s="166" t="s">
        <v>181</v>
      </c>
      <c r="F95" s="167" t="s">
        <v>181</v>
      </c>
      <c r="G95" s="166" t="s">
        <v>181</v>
      </c>
      <c r="H95" s="139">
        <v>332.4</v>
      </c>
    </row>
    <row r="96" spans="1:9" ht="14.5">
      <c r="A96" s="472"/>
      <c r="B96" s="455" t="s">
        <v>112</v>
      </c>
      <c r="C96" s="166">
        <v>100</v>
      </c>
      <c r="D96" s="166">
        <v>100</v>
      </c>
      <c r="E96" s="166" t="s">
        <v>181</v>
      </c>
      <c r="F96" s="167" t="s">
        <v>181</v>
      </c>
      <c r="G96" s="166" t="s">
        <v>181</v>
      </c>
      <c r="H96" s="139">
        <v>332.4</v>
      </c>
    </row>
    <row r="97" spans="1:8" ht="14.5">
      <c r="A97" s="472"/>
      <c r="B97" s="455" t="s">
        <v>113</v>
      </c>
      <c r="C97" s="166">
        <v>15</v>
      </c>
      <c r="D97" s="166" t="s">
        <v>181</v>
      </c>
      <c r="E97" s="166" t="s">
        <v>181</v>
      </c>
      <c r="F97" s="167" t="s">
        <v>181</v>
      </c>
      <c r="G97" s="166">
        <v>15</v>
      </c>
      <c r="H97" s="139">
        <v>347.4</v>
      </c>
    </row>
    <row r="98" spans="1:8" ht="14.5">
      <c r="A98" s="472"/>
      <c r="B98" s="455" t="s">
        <v>114</v>
      </c>
      <c r="C98" s="166">
        <v>100</v>
      </c>
      <c r="D98" s="166">
        <v>100</v>
      </c>
      <c r="E98" s="166" t="s">
        <v>181</v>
      </c>
      <c r="F98" s="167" t="s">
        <v>181</v>
      </c>
      <c r="G98" s="166" t="s">
        <v>181</v>
      </c>
      <c r="H98" s="139">
        <v>315</v>
      </c>
    </row>
    <row r="99" spans="1:8" ht="14.5">
      <c r="A99" s="472"/>
      <c r="B99" s="455" t="s">
        <v>115</v>
      </c>
      <c r="C99" s="166">
        <v>100</v>
      </c>
      <c r="D99" s="166">
        <v>100</v>
      </c>
      <c r="E99" s="166" t="s">
        <v>181</v>
      </c>
      <c r="F99" s="167" t="s">
        <v>181</v>
      </c>
      <c r="G99" s="166" t="s">
        <v>181</v>
      </c>
      <c r="H99" s="139">
        <v>315</v>
      </c>
    </row>
    <row r="100" spans="1:8" ht="14.5">
      <c r="A100" s="473"/>
      <c r="B100" s="456" t="s">
        <v>116</v>
      </c>
      <c r="C100" s="168">
        <v>32.5</v>
      </c>
      <c r="D100" s="168" t="s">
        <v>181</v>
      </c>
      <c r="E100" s="168" t="s">
        <v>181</v>
      </c>
      <c r="F100" s="168" t="s">
        <v>181</v>
      </c>
      <c r="G100" s="168">
        <v>32.5</v>
      </c>
      <c r="H100" s="142">
        <v>347.5</v>
      </c>
    </row>
    <row r="101" spans="1:8" ht="14.5">
      <c r="A101" s="471">
        <v>2019</v>
      </c>
      <c r="B101" s="454" t="s">
        <v>105</v>
      </c>
      <c r="C101" s="174">
        <v>100</v>
      </c>
      <c r="D101" s="170">
        <v>100</v>
      </c>
      <c r="E101" s="170" t="s">
        <v>181</v>
      </c>
      <c r="F101" s="170" t="s">
        <v>181</v>
      </c>
      <c r="G101" s="170" t="s">
        <v>181</v>
      </c>
      <c r="H101" s="136">
        <v>347.5</v>
      </c>
    </row>
    <row r="102" spans="1:8" ht="14.5">
      <c r="A102" s="472"/>
      <c r="B102" s="455" t="s">
        <v>106</v>
      </c>
      <c r="C102" s="167">
        <v>100</v>
      </c>
      <c r="D102" s="166">
        <v>100</v>
      </c>
      <c r="E102" s="166" t="s">
        <v>181</v>
      </c>
      <c r="F102" s="166" t="s">
        <v>181</v>
      </c>
      <c r="G102" s="166" t="s">
        <v>181</v>
      </c>
      <c r="H102" s="139">
        <v>347.5</v>
      </c>
    </row>
    <row r="103" spans="1:8" ht="14.5">
      <c r="A103" s="472"/>
      <c r="B103" s="455" t="s">
        <v>107</v>
      </c>
      <c r="C103" s="173">
        <v>24.5</v>
      </c>
      <c r="D103" s="166" t="s">
        <v>181</v>
      </c>
      <c r="E103" s="166" t="s">
        <v>181</v>
      </c>
      <c r="F103" s="166" t="s">
        <v>181</v>
      </c>
      <c r="G103" s="166">
        <v>24.5</v>
      </c>
      <c r="H103" s="139">
        <v>322</v>
      </c>
    </row>
    <row r="104" spans="1:8" ht="14.5">
      <c r="A104" s="472"/>
      <c r="B104" s="455" t="s">
        <v>108</v>
      </c>
      <c r="C104" s="167">
        <v>100</v>
      </c>
      <c r="D104" s="166">
        <v>100</v>
      </c>
      <c r="E104" s="166" t="s">
        <v>181</v>
      </c>
      <c r="F104" s="166" t="s">
        <v>181</v>
      </c>
      <c r="G104" s="166" t="s">
        <v>181</v>
      </c>
      <c r="H104" s="139">
        <v>322</v>
      </c>
    </row>
    <row r="105" spans="1:8" ht="14.5">
      <c r="A105" s="472"/>
      <c r="B105" s="455" t="s">
        <v>109</v>
      </c>
      <c r="C105" s="167">
        <v>100</v>
      </c>
      <c r="D105" s="166">
        <v>100</v>
      </c>
      <c r="E105" s="166">
        <v>0</v>
      </c>
      <c r="F105" s="166">
        <v>0</v>
      </c>
      <c r="G105" s="166">
        <v>0</v>
      </c>
      <c r="H105" s="139">
        <v>322</v>
      </c>
    </row>
    <row r="106" spans="1:8" ht="14.5">
      <c r="A106" s="472"/>
      <c r="B106" s="455" t="s">
        <v>110</v>
      </c>
      <c r="C106" s="167">
        <v>50</v>
      </c>
      <c r="D106" s="166" t="s">
        <v>181</v>
      </c>
      <c r="E106" s="166" t="s">
        <v>181</v>
      </c>
      <c r="F106" s="166" t="s">
        <v>181</v>
      </c>
      <c r="G106" s="166">
        <v>50</v>
      </c>
      <c r="H106" s="139">
        <v>322</v>
      </c>
    </row>
    <row r="107" spans="1:8" ht="14.5">
      <c r="A107" s="472"/>
      <c r="B107" s="455" t="s">
        <v>117</v>
      </c>
      <c r="C107" s="167">
        <v>100</v>
      </c>
      <c r="D107" s="166">
        <v>100</v>
      </c>
      <c r="E107" s="166" t="s">
        <v>181</v>
      </c>
      <c r="F107" s="166" t="s">
        <v>181</v>
      </c>
      <c r="G107" s="166" t="s">
        <v>181</v>
      </c>
      <c r="H107" s="145">
        <v>322</v>
      </c>
    </row>
    <row r="108" spans="1:8" ht="14.5">
      <c r="A108" s="472"/>
      <c r="B108" s="455" t="s">
        <v>112</v>
      </c>
      <c r="C108" s="167">
        <v>100</v>
      </c>
      <c r="D108" s="166">
        <v>100</v>
      </c>
      <c r="E108" s="166" t="s">
        <v>181</v>
      </c>
      <c r="F108" s="166" t="s">
        <v>181</v>
      </c>
      <c r="G108" s="166" t="s">
        <v>181</v>
      </c>
      <c r="H108" s="145">
        <v>322</v>
      </c>
    </row>
    <row r="109" spans="1:8" ht="14.5">
      <c r="A109" s="472"/>
      <c r="B109" s="455" t="s">
        <v>113</v>
      </c>
      <c r="C109" s="167">
        <v>34.1</v>
      </c>
      <c r="D109" s="166" t="s">
        <v>181</v>
      </c>
      <c r="E109" s="166" t="s">
        <v>181</v>
      </c>
      <c r="F109" s="166" t="s">
        <v>181</v>
      </c>
      <c r="G109" s="166">
        <v>34.1</v>
      </c>
      <c r="H109" s="139">
        <v>341.1</v>
      </c>
    </row>
    <row r="110" spans="1:8" ht="14.5">
      <c r="A110" s="472"/>
      <c r="B110" s="455" t="s">
        <v>114</v>
      </c>
      <c r="C110" s="167">
        <v>100</v>
      </c>
      <c r="D110" s="166">
        <v>100</v>
      </c>
      <c r="E110" s="166" t="s">
        <v>181</v>
      </c>
      <c r="F110" s="166" t="s">
        <v>181</v>
      </c>
      <c r="G110" s="166" t="s">
        <v>181</v>
      </c>
      <c r="H110" s="139">
        <v>341.1</v>
      </c>
    </row>
    <row r="111" spans="1:8" ht="14.5">
      <c r="A111" s="472"/>
      <c r="B111" s="455" t="s">
        <v>115</v>
      </c>
      <c r="C111" s="166">
        <v>100</v>
      </c>
      <c r="D111" s="166">
        <v>100</v>
      </c>
      <c r="E111" s="166" t="s">
        <v>181</v>
      </c>
      <c r="F111" s="166" t="s">
        <v>181</v>
      </c>
      <c r="G111" s="166" t="s">
        <v>181</v>
      </c>
      <c r="H111" s="139">
        <v>341.1</v>
      </c>
    </row>
    <row r="112" spans="1:8" ht="14.5">
      <c r="A112" s="481"/>
      <c r="B112" s="456" t="s">
        <v>116</v>
      </c>
      <c r="C112" s="169">
        <v>26</v>
      </c>
      <c r="D112" s="168" t="s">
        <v>181</v>
      </c>
      <c r="E112" s="168" t="s">
        <v>181</v>
      </c>
      <c r="F112" s="168" t="s">
        <v>181</v>
      </c>
      <c r="G112" s="168">
        <v>26</v>
      </c>
      <c r="H112" s="142">
        <v>334.6</v>
      </c>
    </row>
    <row r="113" spans="1:8" ht="14.5">
      <c r="A113" s="471">
        <v>2020</v>
      </c>
      <c r="B113" s="453" t="s">
        <v>105</v>
      </c>
      <c r="C113" s="170">
        <v>86</v>
      </c>
      <c r="D113" s="170">
        <v>86</v>
      </c>
      <c r="E113" s="170" t="s">
        <v>181</v>
      </c>
      <c r="F113" s="170" t="s">
        <v>181</v>
      </c>
      <c r="G113" s="170" t="s">
        <v>181</v>
      </c>
      <c r="H113" s="136">
        <v>320.60000000000002</v>
      </c>
    </row>
    <row r="114" spans="1:8" ht="14.5">
      <c r="A114" s="472"/>
      <c r="B114" s="450" t="s">
        <v>106</v>
      </c>
      <c r="C114" s="166">
        <v>51</v>
      </c>
      <c r="D114" s="166">
        <v>51</v>
      </c>
      <c r="E114" s="166" t="s">
        <v>181</v>
      </c>
      <c r="F114" s="166" t="s">
        <v>181</v>
      </c>
      <c r="G114" s="166" t="s">
        <v>181</v>
      </c>
      <c r="H114" s="139">
        <v>271.60000000000002</v>
      </c>
    </row>
    <row r="115" spans="1:8" ht="14.5">
      <c r="A115" s="472"/>
      <c r="B115" s="450" t="s">
        <v>107</v>
      </c>
      <c r="C115" s="166">
        <v>47.5</v>
      </c>
      <c r="D115" s="166" t="s">
        <v>181</v>
      </c>
      <c r="E115" s="166" t="s">
        <v>181</v>
      </c>
      <c r="F115" s="166" t="s">
        <v>181</v>
      </c>
      <c r="G115" s="166">
        <v>47.5</v>
      </c>
      <c r="H115" s="139">
        <v>294.60000000000002</v>
      </c>
    </row>
    <row r="116" spans="1:8" ht="14.5">
      <c r="A116" s="472"/>
      <c r="B116" s="450" t="s">
        <v>108</v>
      </c>
      <c r="C116" s="166">
        <v>96</v>
      </c>
      <c r="D116" s="166">
        <v>96</v>
      </c>
      <c r="E116" s="166" t="s">
        <v>181</v>
      </c>
      <c r="F116" s="166" t="s">
        <v>181</v>
      </c>
      <c r="G116" s="166" t="s">
        <v>181</v>
      </c>
      <c r="H116" s="139">
        <v>304.60000000000002</v>
      </c>
    </row>
    <row r="117" spans="1:8" ht="14.5">
      <c r="A117" s="472"/>
      <c r="B117" s="450" t="s">
        <v>109</v>
      </c>
      <c r="C117" s="166">
        <v>100</v>
      </c>
      <c r="D117" s="166">
        <v>100</v>
      </c>
      <c r="E117" s="166" t="s">
        <v>181</v>
      </c>
      <c r="F117" s="166" t="s">
        <v>181</v>
      </c>
      <c r="G117" s="166" t="s">
        <v>181</v>
      </c>
      <c r="H117" s="139">
        <v>353.6</v>
      </c>
    </row>
    <row r="118" spans="1:8" ht="14.5">
      <c r="A118" s="472"/>
      <c r="B118" s="450" t="s">
        <v>110</v>
      </c>
      <c r="C118" s="166">
        <v>50</v>
      </c>
      <c r="D118" s="166" t="s">
        <v>181</v>
      </c>
      <c r="E118" s="166" t="s">
        <v>181</v>
      </c>
      <c r="F118" s="166" t="s">
        <v>181</v>
      </c>
      <c r="G118" s="166">
        <v>50</v>
      </c>
      <c r="H118" s="139">
        <v>353.6</v>
      </c>
    </row>
    <row r="119" spans="1:8" ht="14.5">
      <c r="A119" s="472"/>
      <c r="B119" s="450" t="s">
        <v>117</v>
      </c>
      <c r="C119" s="166">
        <v>100</v>
      </c>
      <c r="D119" s="166">
        <v>100</v>
      </c>
      <c r="E119" s="166" t="s">
        <v>181</v>
      </c>
      <c r="F119" s="166" t="s">
        <v>181</v>
      </c>
      <c r="G119" s="166" t="s">
        <v>181</v>
      </c>
      <c r="H119" s="139">
        <v>357.6</v>
      </c>
    </row>
    <row r="120" spans="1:8" ht="14.5">
      <c r="A120" s="472"/>
      <c r="B120" s="450" t="s">
        <v>112</v>
      </c>
      <c r="C120" s="166">
        <v>100</v>
      </c>
      <c r="D120" s="166">
        <v>100</v>
      </c>
      <c r="E120" s="166" t="s">
        <v>181</v>
      </c>
      <c r="F120" s="166" t="s">
        <v>181</v>
      </c>
      <c r="G120" s="166" t="s">
        <v>181</v>
      </c>
      <c r="H120" s="139">
        <v>357.6</v>
      </c>
    </row>
    <row r="121" spans="1:8" ht="14.5">
      <c r="A121" s="472"/>
      <c r="B121" s="455" t="s">
        <v>113</v>
      </c>
      <c r="C121" s="167">
        <v>50</v>
      </c>
      <c r="D121" s="166" t="s">
        <v>181</v>
      </c>
      <c r="E121" s="166" t="s">
        <v>181</v>
      </c>
      <c r="F121" s="166" t="s">
        <v>181</v>
      </c>
      <c r="G121" s="166">
        <v>50</v>
      </c>
      <c r="H121" s="139">
        <v>373.5</v>
      </c>
    </row>
    <row r="122" spans="1:8" ht="14.5">
      <c r="A122" s="472"/>
      <c r="B122" s="455" t="s">
        <v>114</v>
      </c>
      <c r="C122" s="166">
        <v>100</v>
      </c>
      <c r="D122" s="166">
        <v>100</v>
      </c>
      <c r="E122" s="166" t="s">
        <v>181</v>
      </c>
      <c r="F122" s="166" t="s">
        <v>181</v>
      </c>
      <c r="G122" s="166" t="s">
        <v>181</v>
      </c>
      <c r="H122" s="139">
        <v>373.5</v>
      </c>
    </row>
    <row r="123" spans="1:8" ht="14.5">
      <c r="A123" s="472"/>
      <c r="B123" s="455" t="s">
        <v>115</v>
      </c>
      <c r="C123" s="167">
        <v>100</v>
      </c>
      <c r="D123" s="166">
        <v>100</v>
      </c>
      <c r="E123" s="166" t="s">
        <v>181</v>
      </c>
      <c r="F123" s="166" t="s">
        <v>181</v>
      </c>
      <c r="G123" s="166" t="s">
        <v>181</v>
      </c>
      <c r="H123" s="139">
        <v>373.5</v>
      </c>
    </row>
    <row r="124" spans="1:8" ht="14.5">
      <c r="A124" s="473"/>
      <c r="B124" s="456" t="s">
        <v>116</v>
      </c>
      <c r="C124" s="169">
        <v>10</v>
      </c>
      <c r="D124" s="168" t="s">
        <v>181</v>
      </c>
      <c r="E124" s="168" t="s">
        <v>181</v>
      </c>
      <c r="F124" s="168" t="s">
        <v>181</v>
      </c>
      <c r="G124" s="168">
        <v>10</v>
      </c>
      <c r="H124" s="142">
        <v>357.5</v>
      </c>
    </row>
    <row r="125" spans="1:8" ht="14.5">
      <c r="A125" s="471">
        <v>2021</v>
      </c>
      <c r="B125" s="454" t="s">
        <v>105</v>
      </c>
      <c r="C125" s="171">
        <v>0</v>
      </c>
      <c r="D125" s="170">
        <v>0</v>
      </c>
      <c r="E125" s="170" t="s">
        <v>181</v>
      </c>
      <c r="F125" s="170" t="s">
        <v>181</v>
      </c>
      <c r="G125" s="170" t="s">
        <v>181</v>
      </c>
      <c r="H125" s="136">
        <v>257.5</v>
      </c>
    </row>
    <row r="126" spans="1:8" ht="14.5">
      <c r="A126" s="472"/>
      <c r="B126" s="455" t="s">
        <v>106</v>
      </c>
      <c r="C126" s="167">
        <v>100</v>
      </c>
      <c r="D126" s="166">
        <v>100</v>
      </c>
      <c r="E126" s="166" t="s">
        <v>181</v>
      </c>
      <c r="F126" s="166" t="s">
        <v>181</v>
      </c>
      <c r="G126" s="166" t="s">
        <v>181</v>
      </c>
      <c r="H126" s="139">
        <v>257.5</v>
      </c>
    </row>
    <row r="127" spans="1:8" ht="14.5">
      <c r="A127" s="472"/>
      <c r="B127" s="455" t="s">
        <v>107</v>
      </c>
      <c r="C127" s="173">
        <v>15</v>
      </c>
      <c r="D127" s="166" t="s">
        <v>181</v>
      </c>
      <c r="E127" s="166" t="s">
        <v>181</v>
      </c>
      <c r="F127" s="166" t="s">
        <v>181</v>
      </c>
      <c r="G127" s="166">
        <v>15</v>
      </c>
      <c r="H127" s="139">
        <v>225</v>
      </c>
    </row>
    <row r="128" spans="1:8" ht="14.5">
      <c r="A128" s="472"/>
      <c r="B128" s="455" t="s">
        <v>182</v>
      </c>
      <c r="C128" s="167">
        <v>100</v>
      </c>
      <c r="D128" s="166">
        <v>100</v>
      </c>
      <c r="E128" s="166" t="s">
        <v>181</v>
      </c>
      <c r="F128" s="166" t="s">
        <v>181</v>
      </c>
      <c r="G128" s="166" t="s">
        <v>181</v>
      </c>
      <c r="H128" s="139">
        <v>325</v>
      </c>
    </row>
    <row r="129" spans="1:8" ht="14.5">
      <c r="A129" s="472"/>
      <c r="B129" s="455" t="s">
        <v>109</v>
      </c>
      <c r="C129" s="167">
        <v>100</v>
      </c>
      <c r="D129" s="166">
        <v>100</v>
      </c>
      <c r="E129" s="166" t="s">
        <v>181</v>
      </c>
      <c r="F129" s="166" t="s">
        <v>181</v>
      </c>
      <c r="G129" s="166" t="s">
        <v>181</v>
      </c>
      <c r="H129" s="139">
        <v>325</v>
      </c>
    </row>
    <row r="130" spans="1:8" ht="14.5">
      <c r="A130" s="472"/>
      <c r="B130" s="455" t="s">
        <v>110</v>
      </c>
      <c r="C130" s="167">
        <v>5</v>
      </c>
      <c r="D130" s="166" t="s">
        <v>181</v>
      </c>
      <c r="E130" s="166" t="s">
        <v>181</v>
      </c>
      <c r="F130" s="166" t="s">
        <v>181</v>
      </c>
      <c r="G130" s="166" t="s">
        <v>181</v>
      </c>
      <c r="H130" s="139">
        <v>280</v>
      </c>
    </row>
    <row r="131" spans="1:8" ht="14.5">
      <c r="A131" s="472"/>
      <c r="B131" s="455" t="s">
        <v>117</v>
      </c>
      <c r="C131" s="167">
        <v>100</v>
      </c>
      <c r="D131" s="166">
        <v>100</v>
      </c>
      <c r="E131" s="166" t="s">
        <v>181</v>
      </c>
      <c r="F131" s="166" t="s">
        <v>181</v>
      </c>
      <c r="G131" s="166" t="s">
        <v>181</v>
      </c>
      <c r="H131" s="139">
        <v>280</v>
      </c>
    </row>
    <row r="132" spans="1:8" ht="14.5">
      <c r="A132" s="472"/>
      <c r="B132" s="455" t="s">
        <v>112</v>
      </c>
      <c r="C132" s="167">
        <v>100</v>
      </c>
      <c r="D132" s="166">
        <v>100</v>
      </c>
      <c r="E132" s="166" t="s">
        <v>181</v>
      </c>
      <c r="F132" s="166" t="s">
        <v>181</v>
      </c>
      <c r="G132" s="166" t="s">
        <v>181</v>
      </c>
      <c r="H132" s="139">
        <v>280</v>
      </c>
    </row>
    <row r="133" spans="1:8" ht="14.5">
      <c r="A133" s="472"/>
      <c r="B133" s="455" t="s">
        <v>113</v>
      </c>
      <c r="C133" s="166">
        <v>50</v>
      </c>
      <c r="D133" s="166" t="s">
        <v>181</v>
      </c>
      <c r="E133" s="166" t="s">
        <v>181</v>
      </c>
      <c r="F133" s="166" t="s">
        <v>181</v>
      </c>
      <c r="G133" s="166">
        <v>50</v>
      </c>
      <c r="H133" s="139">
        <v>280</v>
      </c>
    </row>
    <row r="134" spans="1:8" ht="14.5">
      <c r="A134" s="472"/>
      <c r="B134" s="455" t="s">
        <v>114</v>
      </c>
      <c r="C134" s="167">
        <v>100</v>
      </c>
      <c r="D134" s="166">
        <v>100</v>
      </c>
      <c r="E134" s="166" t="s">
        <v>181</v>
      </c>
      <c r="F134" s="166" t="s">
        <v>181</v>
      </c>
      <c r="G134" s="166" t="s">
        <v>181</v>
      </c>
      <c r="H134" s="139">
        <v>280</v>
      </c>
    </row>
    <row r="135" spans="1:8" ht="14.5">
      <c r="A135" s="472"/>
      <c r="B135" s="455" t="s">
        <v>115</v>
      </c>
      <c r="C135" s="167">
        <v>100</v>
      </c>
      <c r="D135" s="166">
        <v>100</v>
      </c>
      <c r="E135" s="166" t="s">
        <v>181</v>
      </c>
      <c r="F135" s="166" t="s">
        <v>181</v>
      </c>
      <c r="G135" s="166" t="s">
        <v>181</v>
      </c>
      <c r="H135" s="139">
        <v>280</v>
      </c>
    </row>
    <row r="136" spans="1:8" ht="14.5">
      <c r="A136" s="473"/>
      <c r="B136" s="456" t="s">
        <v>116</v>
      </c>
      <c r="C136" s="168" t="s">
        <v>181</v>
      </c>
      <c r="D136" s="168" t="s">
        <v>181</v>
      </c>
      <c r="E136" s="168" t="s">
        <v>181</v>
      </c>
      <c r="F136" s="168" t="s">
        <v>181</v>
      </c>
      <c r="G136" s="168" t="s">
        <v>181</v>
      </c>
      <c r="H136" s="142">
        <v>270</v>
      </c>
    </row>
    <row r="137" spans="1:8" ht="14.5">
      <c r="A137" s="471">
        <v>2022</v>
      </c>
      <c r="B137" s="454" t="s">
        <v>105</v>
      </c>
      <c r="C137" s="170">
        <v>100</v>
      </c>
      <c r="D137" s="170">
        <v>100</v>
      </c>
      <c r="E137" s="170" t="s">
        <v>181</v>
      </c>
      <c r="F137" s="170" t="s">
        <v>181</v>
      </c>
      <c r="G137" s="170" t="s">
        <v>181</v>
      </c>
      <c r="H137" s="136">
        <v>270</v>
      </c>
    </row>
    <row r="138" spans="1:8" ht="14.5">
      <c r="A138" s="472"/>
      <c r="B138" s="455" t="s">
        <v>106</v>
      </c>
      <c r="C138" s="166">
        <v>100</v>
      </c>
      <c r="D138" s="166">
        <v>100</v>
      </c>
      <c r="E138" s="166" t="s">
        <v>181</v>
      </c>
      <c r="F138" s="166" t="s">
        <v>181</v>
      </c>
      <c r="G138" s="166" t="s">
        <v>181</v>
      </c>
      <c r="H138" s="139">
        <v>270</v>
      </c>
    </row>
    <row r="139" spans="1:8" ht="14.5">
      <c r="A139" s="472"/>
      <c r="B139" s="455" t="s">
        <v>107</v>
      </c>
      <c r="C139" s="166">
        <v>50</v>
      </c>
      <c r="D139" s="166" t="s">
        <v>181</v>
      </c>
      <c r="E139" s="166" t="s">
        <v>181</v>
      </c>
      <c r="F139" s="166" t="s">
        <v>181</v>
      </c>
      <c r="G139" s="166">
        <v>50</v>
      </c>
      <c r="H139" s="139">
        <v>305</v>
      </c>
    </row>
    <row r="140" spans="1:8" ht="14.5">
      <c r="A140" s="472"/>
      <c r="B140" s="455" t="s">
        <v>108</v>
      </c>
      <c r="C140" s="166">
        <v>75</v>
      </c>
      <c r="D140" s="166">
        <v>75</v>
      </c>
      <c r="E140" s="166" t="s">
        <v>181</v>
      </c>
      <c r="F140" s="166" t="s">
        <v>181</v>
      </c>
      <c r="G140" s="166" t="s">
        <v>181</v>
      </c>
      <c r="H140" s="139">
        <v>280</v>
      </c>
    </row>
    <row r="141" spans="1:8" ht="14.5">
      <c r="A141" s="472"/>
      <c r="B141" s="455" t="s">
        <v>109</v>
      </c>
      <c r="C141" s="166">
        <v>100</v>
      </c>
      <c r="D141" s="166">
        <v>100</v>
      </c>
      <c r="E141" s="166" t="s">
        <v>181</v>
      </c>
      <c r="F141" s="166" t="s">
        <v>181</v>
      </c>
      <c r="G141" s="166" t="s">
        <v>181</v>
      </c>
      <c r="H141" s="139">
        <v>280</v>
      </c>
    </row>
    <row r="142" spans="1:8" ht="14.5">
      <c r="A142" s="472"/>
      <c r="B142" s="455" t="s">
        <v>110</v>
      </c>
      <c r="C142" s="166" t="s">
        <v>181</v>
      </c>
      <c r="D142" s="166" t="s">
        <v>181</v>
      </c>
      <c r="E142" s="166" t="s">
        <v>181</v>
      </c>
      <c r="F142" s="166" t="s">
        <v>181</v>
      </c>
      <c r="G142" s="166" t="s">
        <v>181</v>
      </c>
      <c r="H142" s="139">
        <v>280</v>
      </c>
    </row>
    <row r="143" spans="1:8" ht="14.5">
      <c r="A143" s="472"/>
      <c r="B143" s="455" t="s">
        <v>117</v>
      </c>
      <c r="C143" s="166">
        <v>70</v>
      </c>
      <c r="D143" s="166">
        <v>70</v>
      </c>
      <c r="E143" s="166" t="s">
        <v>181</v>
      </c>
      <c r="F143" s="166" t="s">
        <v>181</v>
      </c>
      <c r="G143" s="166" t="s">
        <v>181</v>
      </c>
      <c r="H143" s="139">
        <v>275</v>
      </c>
    </row>
    <row r="144" spans="1:8" ht="14.5">
      <c r="A144" s="472"/>
      <c r="B144" s="455" t="s">
        <v>112</v>
      </c>
      <c r="C144" s="166">
        <v>95</v>
      </c>
      <c r="D144" s="166">
        <v>95</v>
      </c>
      <c r="E144" s="166" t="s">
        <v>181</v>
      </c>
      <c r="F144" s="166" t="s">
        <v>181</v>
      </c>
      <c r="G144" s="166" t="s">
        <v>181</v>
      </c>
      <c r="H144" s="139">
        <v>270</v>
      </c>
    </row>
    <row r="145" spans="1:8" ht="14.5">
      <c r="A145" s="472"/>
      <c r="B145" s="455" t="s">
        <v>113</v>
      </c>
      <c r="C145" s="166">
        <v>50</v>
      </c>
      <c r="D145" s="166" t="s">
        <v>181</v>
      </c>
      <c r="E145" s="166" t="s">
        <v>181</v>
      </c>
      <c r="F145" s="166" t="s">
        <v>181</v>
      </c>
      <c r="G145" s="166">
        <v>50</v>
      </c>
      <c r="H145" s="139">
        <v>270</v>
      </c>
    </row>
    <row r="146" spans="1:8" ht="14.5">
      <c r="A146" s="472"/>
      <c r="B146" s="455" t="s">
        <v>114</v>
      </c>
      <c r="C146" s="166">
        <v>100</v>
      </c>
      <c r="D146" s="166">
        <v>100</v>
      </c>
      <c r="E146" s="166" t="s">
        <v>181</v>
      </c>
      <c r="F146" s="166" t="s">
        <v>181</v>
      </c>
      <c r="G146" s="166" t="s">
        <v>181</v>
      </c>
      <c r="H146" s="139">
        <v>300</v>
      </c>
    </row>
    <row r="147" spans="1:8" ht="14.5">
      <c r="A147" s="472"/>
      <c r="B147" s="455" t="s">
        <v>115</v>
      </c>
      <c r="C147" s="166">
        <v>100</v>
      </c>
      <c r="D147" s="166">
        <v>100</v>
      </c>
      <c r="E147" s="166" t="s">
        <v>181</v>
      </c>
      <c r="F147" s="166" t="s">
        <v>181</v>
      </c>
      <c r="G147" s="166" t="s">
        <v>181</v>
      </c>
      <c r="H147" s="139">
        <v>305</v>
      </c>
    </row>
    <row r="148" spans="1:8" ht="14.5">
      <c r="A148" s="481"/>
      <c r="B148" s="456" t="s">
        <v>116</v>
      </c>
      <c r="C148" s="168" t="s">
        <v>181</v>
      </c>
      <c r="D148" s="168" t="s">
        <v>181</v>
      </c>
      <c r="E148" s="168" t="s">
        <v>181</v>
      </c>
      <c r="F148" s="168" t="s">
        <v>181</v>
      </c>
      <c r="G148" s="168" t="s">
        <v>181</v>
      </c>
      <c r="H148" s="142">
        <v>305</v>
      </c>
    </row>
    <row r="149" spans="1:8" ht="14.5">
      <c r="A149" s="471">
        <v>2023</v>
      </c>
      <c r="B149" s="454" t="s">
        <v>105</v>
      </c>
      <c r="C149" s="170" t="s">
        <v>181</v>
      </c>
      <c r="D149" s="170" t="s">
        <v>181</v>
      </c>
      <c r="E149" s="170" t="s">
        <v>181</v>
      </c>
      <c r="F149" s="170" t="s">
        <v>181</v>
      </c>
      <c r="G149" s="170" t="s">
        <v>181</v>
      </c>
      <c r="H149" s="136">
        <v>205</v>
      </c>
    </row>
    <row r="150" spans="1:8" ht="14.5">
      <c r="A150" s="472"/>
      <c r="B150" s="455" t="s">
        <v>106</v>
      </c>
      <c r="C150" s="166">
        <v>100</v>
      </c>
      <c r="D150" s="166">
        <v>100</v>
      </c>
      <c r="E150" s="166" t="s">
        <v>181</v>
      </c>
      <c r="F150" s="166" t="s">
        <v>181</v>
      </c>
      <c r="G150" s="166" t="s">
        <v>181</v>
      </c>
      <c r="H150" s="139">
        <v>205</v>
      </c>
    </row>
    <row r="151" spans="1:8" ht="14.5">
      <c r="A151" s="472"/>
      <c r="B151" s="455" t="s">
        <v>107</v>
      </c>
      <c r="C151" s="166">
        <v>50</v>
      </c>
      <c r="D151" s="166" t="s">
        <v>181</v>
      </c>
      <c r="E151" s="166" t="s">
        <v>181</v>
      </c>
      <c r="F151" s="166" t="s">
        <v>181</v>
      </c>
      <c r="G151" s="166">
        <v>50</v>
      </c>
      <c r="H151" s="139">
        <v>205</v>
      </c>
    </row>
    <row r="152" spans="1:8" ht="14.5">
      <c r="A152" s="472"/>
      <c r="B152" s="455" t="s">
        <v>108</v>
      </c>
      <c r="C152" s="166">
        <v>65.5</v>
      </c>
      <c r="D152" s="166">
        <v>65.5</v>
      </c>
      <c r="E152" s="166" t="s">
        <v>181</v>
      </c>
      <c r="F152" s="166" t="s">
        <v>181</v>
      </c>
      <c r="G152" s="166" t="s">
        <v>181</v>
      </c>
      <c r="H152" s="139">
        <v>270.5</v>
      </c>
    </row>
    <row r="153" spans="1:8" ht="14.5">
      <c r="A153" s="472"/>
      <c r="B153" s="455" t="s">
        <v>109</v>
      </c>
      <c r="C153" s="166">
        <v>100</v>
      </c>
      <c r="D153" s="166">
        <v>100</v>
      </c>
      <c r="E153" s="166" t="s">
        <v>181</v>
      </c>
      <c r="F153" s="166" t="s">
        <v>181</v>
      </c>
      <c r="G153" s="166" t="s">
        <v>181</v>
      </c>
      <c r="H153" s="139">
        <v>270.5</v>
      </c>
    </row>
    <row r="154" spans="1:8" ht="14.5">
      <c r="A154" s="472"/>
      <c r="B154" s="455" t="s">
        <v>110</v>
      </c>
      <c r="C154" s="166">
        <v>50</v>
      </c>
      <c r="D154" s="166" t="s">
        <v>181</v>
      </c>
      <c r="E154" s="166" t="s">
        <v>181</v>
      </c>
      <c r="F154" s="166" t="s">
        <v>181</v>
      </c>
      <c r="G154" s="166">
        <v>50</v>
      </c>
      <c r="H154" s="139">
        <v>320.5</v>
      </c>
    </row>
    <row r="155" spans="1:8" ht="14.5">
      <c r="A155" s="472"/>
      <c r="B155" s="455" t="s">
        <v>117</v>
      </c>
      <c r="C155" s="166">
        <v>45</v>
      </c>
      <c r="D155" s="166">
        <v>45</v>
      </c>
      <c r="E155" s="166" t="s">
        <v>181</v>
      </c>
      <c r="F155" s="166" t="s">
        <v>181</v>
      </c>
      <c r="G155" s="166" t="s">
        <v>181</v>
      </c>
      <c r="H155" s="139">
        <v>300</v>
      </c>
    </row>
    <row r="156" spans="1:8" ht="14.5">
      <c r="A156" s="472"/>
      <c r="B156" s="455" t="s">
        <v>112</v>
      </c>
      <c r="C156" s="166">
        <v>100</v>
      </c>
      <c r="D156" s="166">
        <v>100</v>
      </c>
      <c r="E156" s="166" t="s">
        <v>181</v>
      </c>
      <c r="F156" s="166" t="s">
        <v>181</v>
      </c>
      <c r="G156" s="166" t="s">
        <v>181</v>
      </c>
      <c r="H156" s="139">
        <v>300</v>
      </c>
    </row>
    <row r="157" spans="1:8" ht="14.5">
      <c r="A157" s="472"/>
      <c r="B157" s="455" t="s">
        <v>113</v>
      </c>
      <c r="C157" s="166">
        <v>50</v>
      </c>
      <c r="D157" s="166" t="s">
        <v>181</v>
      </c>
      <c r="E157" s="166" t="s">
        <v>181</v>
      </c>
      <c r="F157" s="166" t="s">
        <v>181</v>
      </c>
      <c r="G157" s="166">
        <v>50</v>
      </c>
      <c r="H157" s="139">
        <v>300</v>
      </c>
    </row>
    <row r="158" spans="1:8" ht="14.5">
      <c r="A158" s="472"/>
      <c r="B158" s="455" t="s">
        <v>114</v>
      </c>
      <c r="C158" s="166">
        <v>84</v>
      </c>
      <c r="D158" s="166">
        <v>84</v>
      </c>
      <c r="E158" s="166" t="s">
        <v>181</v>
      </c>
      <c r="F158" s="166" t="s">
        <v>181</v>
      </c>
      <c r="G158" s="166" t="s">
        <v>181</v>
      </c>
      <c r="H158" s="139">
        <v>339</v>
      </c>
    </row>
    <row r="159" spans="1:8" ht="14.5">
      <c r="A159" s="472"/>
      <c r="B159" s="455" t="s">
        <v>115</v>
      </c>
      <c r="C159" s="166">
        <v>100</v>
      </c>
      <c r="D159" s="166">
        <v>100</v>
      </c>
      <c r="E159" s="166" t="s">
        <v>181</v>
      </c>
      <c r="F159" s="166" t="s">
        <v>181</v>
      </c>
      <c r="G159" s="166" t="s">
        <v>181</v>
      </c>
      <c r="H159" s="139">
        <v>339</v>
      </c>
    </row>
    <row r="160" spans="1:8" ht="14.5">
      <c r="A160" s="473"/>
      <c r="B160" s="456" t="s">
        <v>116</v>
      </c>
      <c r="C160" s="168" t="s">
        <v>181</v>
      </c>
      <c r="D160" s="168" t="s">
        <v>181</v>
      </c>
      <c r="E160" s="168" t="s">
        <v>181</v>
      </c>
      <c r="F160" s="168" t="s">
        <v>181</v>
      </c>
      <c r="G160" s="168" t="s">
        <v>181</v>
      </c>
      <c r="H160" s="142">
        <v>339</v>
      </c>
    </row>
    <row r="161" spans="1:8" ht="14.5">
      <c r="A161" s="471">
        <v>2024</v>
      </c>
      <c r="B161" s="454" t="s">
        <v>105</v>
      </c>
      <c r="C161" s="170">
        <v>100</v>
      </c>
      <c r="D161" s="170">
        <v>100</v>
      </c>
      <c r="E161" s="170" t="s">
        <v>181</v>
      </c>
      <c r="F161" s="170" t="s">
        <v>181</v>
      </c>
      <c r="G161" s="170" t="s">
        <v>181</v>
      </c>
      <c r="H161" s="136">
        <v>355</v>
      </c>
    </row>
    <row r="162" spans="1:8" ht="14.5">
      <c r="A162" s="472"/>
      <c r="B162" s="455" t="s">
        <v>106</v>
      </c>
      <c r="C162" s="166">
        <v>100</v>
      </c>
      <c r="D162" s="166">
        <v>100</v>
      </c>
      <c r="E162" s="166" t="s">
        <v>181</v>
      </c>
      <c r="F162" s="166" t="s">
        <v>181</v>
      </c>
      <c r="G162" s="166" t="s">
        <v>181</v>
      </c>
      <c r="H162" s="139">
        <v>355</v>
      </c>
    </row>
    <row r="163" spans="1:8" ht="14.5">
      <c r="A163" s="472"/>
      <c r="B163" s="455" t="s">
        <v>107</v>
      </c>
      <c r="C163" s="166">
        <v>48.75</v>
      </c>
      <c r="D163" s="166" t="s">
        <v>181</v>
      </c>
      <c r="E163" s="166" t="s">
        <v>181</v>
      </c>
      <c r="F163" s="166" t="s">
        <v>181</v>
      </c>
      <c r="G163" s="166">
        <v>48.75</v>
      </c>
      <c r="H163" s="139">
        <v>353.75</v>
      </c>
    </row>
    <row r="164" spans="1:8" ht="14.5">
      <c r="A164" s="472"/>
      <c r="B164" s="455" t="s">
        <v>108</v>
      </c>
      <c r="C164" s="166">
        <v>65</v>
      </c>
      <c r="D164" s="166">
        <v>65</v>
      </c>
      <c r="E164" s="166" t="s">
        <v>181</v>
      </c>
      <c r="F164" s="166" t="s">
        <v>181</v>
      </c>
      <c r="G164" s="166" t="s">
        <v>181</v>
      </c>
      <c r="H164" s="139">
        <v>318.75</v>
      </c>
    </row>
    <row r="165" spans="1:8" ht="14.5">
      <c r="A165" s="472"/>
      <c r="B165" s="455" t="s">
        <v>109</v>
      </c>
      <c r="C165" s="166">
        <v>95</v>
      </c>
      <c r="D165" s="166">
        <v>95</v>
      </c>
      <c r="E165" s="166" t="s">
        <v>181</v>
      </c>
      <c r="F165" s="166" t="s">
        <v>181</v>
      </c>
      <c r="G165" s="166" t="s">
        <v>181</v>
      </c>
      <c r="H165" s="139">
        <v>313.75</v>
      </c>
    </row>
    <row r="166" spans="1:8" ht="14.5">
      <c r="A166" s="472"/>
      <c r="B166" s="455" t="s">
        <v>110</v>
      </c>
      <c r="C166" s="166">
        <v>50</v>
      </c>
      <c r="D166" s="166" t="s">
        <v>181</v>
      </c>
      <c r="E166" s="166" t="s">
        <v>181</v>
      </c>
      <c r="F166" s="166" t="s">
        <v>181</v>
      </c>
      <c r="G166" s="166">
        <v>50</v>
      </c>
      <c r="H166" s="139">
        <v>308.75</v>
      </c>
    </row>
    <row r="167" spans="1:8" ht="14.5">
      <c r="A167" s="472"/>
      <c r="B167" s="455" t="s">
        <v>117</v>
      </c>
      <c r="C167" s="166">
        <v>70</v>
      </c>
      <c r="D167" s="166">
        <v>70</v>
      </c>
      <c r="E167" s="166" t="s">
        <v>181</v>
      </c>
      <c r="F167" s="166" t="s">
        <v>181</v>
      </c>
      <c r="G167" s="166" t="s">
        <v>181</v>
      </c>
      <c r="H167" s="139">
        <v>313.75</v>
      </c>
    </row>
    <row r="168" spans="1:8" ht="14.5">
      <c r="A168" s="472"/>
      <c r="B168" s="455" t="s">
        <v>112</v>
      </c>
      <c r="C168" s="166">
        <v>70</v>
      </c>
      <c r="D168" s="166">
        <v>70</v>
      </c>
      <c r="E168" s="166" t="s">
        <v>181</v>
      </c>
      <c r="F168" s="166" t="s">
        <v>181</v>
      </c>
      <c r="G168" s="166" t="s">
        <v>181</v>
      </c>
      <c r="H168" s="139">
        <v>288.75</v>
      </c>
    </row>
    <row r="169" spans="1:8" ht="14.5">
      <c r="A169" s="472"/>
      <c r="B169" s="455" t="s">
        <v>113</v>
      </c>
      <c r="C169" s="166">
        <v>50</v>
      </c>
      <c r="D169" s="166" t="s">
        <v>181</v>
      </c>
      <c r="E169" s="166" t="s">
        <v>181</v>
      </c>
      <c r="F169" s="166" t="s">
        <v>181</v>
      </c>
      <c r="G169" s="166">
        <v>50</v>
      </c>
      <c r="H169" s="139">
        <v>288.75</v>
      </c>
    </row>
    <row r="170" spans="1:8" ht="14.5">
      <c r="A170" s="472"/>
      <c r="B170" s="455" t="s">
        <v>114</v>
      </c>
      <c r="C170" s="166">
        <v>82.6</v>
      </c>
      <c r="D170" s="166">
        <v>82.6</v>
      </c>
      <c r="E170" s="166" t="s">
        <v>181</v>
      </c>
      <c r="F170" s="166" t="s">
        <v>181</v>
      </c>
      <c r="G170" s="166" t="s">
        <v>181</v>
      </c>
      <c r="H170" s="139">
        <v>301.35000000000002</v>
      </c>
    </row>
    <row r="171" spans="1:8" ht="14.5">
      <c r="A171" s="472"/>
      <c r="B171" s="455" t="s">
        <v>115</v>
      </c>
      <c r="C171" s="166">
        <v>75</v>
      </c>
      <c r="D171" s="166">
        <v>75</v>
      </c>
      <c r="E171" s="166" t="s">
        <v>181</v>
      </c>
      <c r="F171" s="166" t="s">
        <v>181</v>
      </c>
      <c r="G171" s="166" t="s">
        <v>181</v>
      </c>
      <c r="H171" s="139">
        <v>306.35000000000002</v>
      </c>
    </row>
    <row r="172" spans="1:8" ht="14.5">
      <c r="A172" s="473"/>
      <c r="B172" s="456" t="s">
        <v>116</v>
      </c>
      <c r="C172" s="168">
        <v>15</v>
      </c>
      <c r="D172" s="168" t="s">
        <v>181</v>
      </c>
      <c r="E172" s="168" t="s">
        <v>181</v>
      </c>
      <c r="F172" s="168" t="s">
        <v>181</v>
      </c>
      <c r="G172" s="168">
        <v>15</v>
      </c>
      <c r="H172" s="142">
        <v>321.35000000000002</v>
      </c>
    </row>
    <row r="173" spans="1:8" ht="14.5">
      <c r="A173" s="471">
        <v>2025</v>
      </c>
      <c r="B173" s="454" t="s">
        <v>105</v>
      </c>
      <c r="C173" s="170">
        <v>72</v>
      </c>
      <c r="D173" s="170">
        <v>72</v>
      </c>
      <c r="E173" s="170" t="s">
        <v>181</v>
      </c>
      <c r="F173" s="170" t="s">
        <v>181</v>
      </c>
      <c r="G173" s="170" t="s">
        <v>181</v>
      </c>
      <c r="H173" s="136">
        <v>310.75</v>
      </c>
    </row>
    <row r="174" spans="1:8" ht="14.5">
      <c r="A174" s="472"/>
      <c r="B174" s="455" t="s">
        <v>106</v>
      </c>
      <c r="C174" s="166">
        <v>55</v>
      </c>
      <c r="D174" s="166">
        <v>55</v>
      </c>
      <c r="E174" s="166" t="s">
        <v>181</v>
      </c>
      <c r="F174" s="166" t="s">
        <v>181</v>
      </c>
      <c r="G174" s="166" t="s">
        <v>181</v>
      </c>
      <c r="H174" s="139">
        <v>290.75</v>
      </c>
    </row>
    <row r="175" spans="1:8" ht="14.5">
      <c r="A175" s="472"/>
      <c r="B175" s="455" t="s">
        <v>107</v>
      </c>
      <c r="C175" s="166">
        <v>45</v>
      </c>
      <c r="D175" s="166" t="s">
        <v>181</v>
      </c>
      <c r="E175" s="166" t="s">
        <v>181</v>
      </c>
      <c r="F175" s="166" t="s">
        <v>181</v>
      </c>
      <c r="G175" s="166">
        <v>45</v>
      </c>
      <c r="H175" s="139">
        <v>287</v>
      </c>
    </row>
    <row r="176" spans="1:8" ht="14.5">
      <c r="A176" s="472"/>
      <c r="B176" s="455" t="s">
        <v>108</v>
      </c>
      <c r="C176" s="166">
        <v>78</v>
      </c>
      <c r="D176" s="166">
        <v>78</v>
      </c>
      <c r="E176" s="166" t="s">
        <v>181</v>
      </c>
      <c r="F176" s="166" t="s">
        <v>181</v>
      </c>
      <c r="G176" s="166" t="s">
        <v>181</v>
      </c>
      <c r="H176" s="139">
        <v>293</v>
      </c>
    </row>
    <row r="177" spans="1:8" ht="14.5">
      <c r="A177" s="472"/>
      <c r="B177" s="455" t="s">
        <v>109</v>
      </c>
      <c r="C177" s="166">
        <v>60</v>
      </c>
      <c r="D177" s="166">
        <v>60</v>
      </c>
      <c r="E177" s="166" t="s">
        <v>181</v>
      </c>
      <c r="F177" s="166" t="s">
        <v>181</v>
      </c>
      <c r="G177" s="166" t="s">
        <v>181</v>
      </c>
      <c r="H177" s="139">
        <v>298</v>
      </c>
    </row>
    <row r="178" spans="1:8" ht="14.5">
      <c r="A178" s="472"/>
      <c r="B178" s="455" t="s">
        <v>110</v>
      </c>
      <c r="C178" s="166">
        <v>40</v>
      </c>
      <c r="D178" s="166" t="s">
        <v>181</v>
      </c>
      <c r="E178" s="166" t="s">
        <v>181</v>
      </c>
      <c r="F178" s="166" t="s">
        <v>181</v>
      </c>
      <c r="G178" s="166">
        <v>40</v>
      </c>
      <c r="H178" s="139">
        <v>288</v>
      </c>
    </row>
    <row r="179" spans="1:8" ht="14.5">
      <c r="A179" s="472"/>
      <c r="B179" s="455" t="s">
        <v>117</v>
      </c>
      <c r="C179" s="166">
        <v>77</v>
      </c>
      <c r="D179" s="166">
        <v>77</v>
      </c>
      <c r="E179" s="166" t="s">
        <v>181</v>
      </c>
      <c r="F179" s="166" t="s">
        <v>181</v>
      </c>
      <c r="G179" s="166" t="s">
        <v>181</v>
      </c>
      <c r="H179" s="139">
        <v>287</v>
      </c>
    </row>
    <row r="180" spans="1:8" ht="14.5">
      <c r="A180" s="472"/>
      <c r="B180" s="455" t="s">
        <v>112</v>
      </c>
      <c r="C180" s="166">
        <v>73</v>
      </c>
      <c r="D180" s="166">
        <v>73</v>
      </c>
      <c r="E180" s="166" t="s">
        <v>181</v>
      </c>
      <c r="F180" s="166" t="s">
        <v>181</v>
      </c>
      <c r="G180" s="166" t="s">
        <v>181</v>
      </c>
      <c r="H180" s="139">
        <v>300</v>
      </c>
    </row>
    <row r="181" spans="1:8" ht="14.5">
      <c r="A181" s="473"/>
      <c r="B181" s="456" t="s">
        <v>113</v>
      </c>
      <c r="C181" s="168">
        <v>72</v>
      </c>
      <c r="D181" s="168"/>
      <c r="E181" s="168"/>
      <c r="F181" s="168"/>
      <c r="G181" s="168">
        <v>72</v>
      </c>
      <c r="H181" s="142">
        <v>322</v>
      </c>
    </row>
    <row r="182" spans="1:8">
      <c r="C182" s="71"/>
      <c r="D182" s="71"/>
      <c r="E182" s="71"/>
      <c r="F182" s="71"/>
      <c r="G182" s="71"/>
      <c r="H182" s="71"/>
    </row>
    <row r="183" spans="1:8">
      <c r="A183" s="490" t="s">
        <v>118</v>
      </c>
    </row>
  </sheetData>
  <sheetProtection formatCells="0" insertColumns="0" insertRows="0" deleteColumns="0" deleteRows="0"/>
  <mergeCells count="5">
    <mergeCell ref="C3:G3"/>
    <mergeCell ref="A2:H2"/>
    <mergeCell ref="A3:B4"/>
    <mergeCell ref="H3:H4"/>
    <mergeCell ref="A1:G1"/>
  </mergeCells>
  <printOptions horizontalCentered="1"/>
  <pageMargins left="0.25" right="0.2" top="1.1200000000000001"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a08831-4843-4c64-a48d-43cb1c350eb6">
      <Terms xmlns="http://schemas.microsoft.com/office/infopath/2007/PartnerControls"/>
    </lcf76f155ced4ddcb4097134ff3c332f>
    <TaxCatchAll xmlns="990d131d-45a3-4e2e-bb3f-d15b98c582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6E4E0CAE4E064CAEACB226D202E143" ma:contentTypeVersion="11" ma:contentTypeDescription="Create a new document." ma:contentTypeScope="" ma:versionID="201ef0a3e2a21b223e4554f90b7892db">
  <xsd:schema xmlns:xsd="http://www.w3.org/2001/XMLSchema" xmlns:xs="http://www.w3.org/2001/XMLSchema" xmlns:p="http://schemas.microsoft.com/office/2006/metadata/properties" xmlns:ns2="a0a08831-4843-4c64-a48d-43cb1c350eb6" xmlns:ns3="990d131d-45a3-4e2e-bb3f-d15b98c582da" targetNamespace="http://schemas.microsoft.com/office/2006/metadata/properties" ma:root="true" ma:fieldsID="ec4275bdb577b248cd85a7f7f5418cca" ns2:_="" ns3:_="">
    <xsd:import namespace="a0a08831-4843-4c64-a48d-43cb1c350eb6"/>
    <xsd:import namespace="990d131d-45a3-4e2e-bb3f-d15b98c582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08831-4843-4c64-a48d-43cb1c350e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412ceda-33a0-467b-ba8c-74f483d24d0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d131d-45a3-4e2e-bb3f-d15b98c582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ab4b66-2c6d-4f6c-85c1-fe73a4b630a3}" ma:internalName="TaxCatchAll" ma:showField="CatchAllData" ma:web="990d131d-45a3-4e2e-bb3f-d15b98c582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420E15-0830-4724-A48E-13D179CFDDFD}">
  <ds:schemaRefs>
    <ds:schemaRef ds:uri="http://schemas.microsoft.com/office/2006/metadata/properties"/>
    <ds:schemaRef ds:uri="6fb3a99e-f6f2-4d3a-aa16-7f3d12f76382"/>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http://www.w3.org/XML/1998/namespace"/>
    <ds:schemaRef ds:uri="http://schemas.microsoft.com/office/infopath/2007/PartnerControls"/>
    <ds:schemaRef ds:uri="512e5757-ef62-4dd7-a8cc-2f5813d88218"/>
  </ds:schemaRefs>
</ds:datastoreItem>
</file>

<file path=customXml/itemProps2.xml><?xml version="1.0" encoding="utf-8"?>
<ds:datastoreItem xmlns:ds="http://schemas.openxmlformats.org/officeDocument/2006/customXml" ds:itemID="{020FE1C8-C314-48FE-BC43-F5DF52910AEB}"/>
</file>

<file path=customXml/itemProps3.xml><?xml version="1.0" encoding="utf-8"?>
<ds:datastoreItem xmlns:ds="http://schemas.openxmlformats.org/officeDocument/2006/customXml" ds:itemID="{7629EA5F-34BE-4666-BCA5-873491E6F469}">
  <ds:schemaRefs>
    <ds:schemaRef ds:uri="http://schemas.microsoft.com/sharepoint/v3/contenttype/forms"/>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14</vt:i4>
      </vt:variant>
      <vt:variant>
        <vt:lpstr>Named Ranges</vt:lpstr>
      </vt:variant>
      <vt:variant>
        <vt:i4>7</vt:i4>
      </vt:variant>
    </vt:vector>
  </HeadingPairs>
  <TitlesOfParts>
    <vt:vector size="58" baseType="lpstr">
      <vt:lpstr>CONTENTS</vt:lpstr>
      <vt:lpstr>GLOSSARY</vt:lpstr>
      <vt:lpstr>1.1</vt:lpstr>
      <vt:lpstr>1.2.1</vt:lpstr>
      <vt:lpstr>1.7</vt:lpstr>
      <vt:lpstr>1.2</vt:lpstr>
      <vt:lpstr>1.3</vt:lpstr>
      <vt:lpstr>1.4</vt:lpstr>
      <vt:lpstr>1.5</vt:lpstr>
      <vt:lpstr>1.5.1</vt:lpstr>
      <vt:lpstr>2.1</vt:lpstr>
      <vt:lpstr>2.2</vt:lpstr>
      <vt:lpstr>2.3</vt:lpstr>
      <vt:lpstr>2.4</vt:lpstr>
      <vt:lpstr>2.5</vt:lpstr>
      <vt:lpstr>2.6</vt:lpstr>
      <vt:lpstr>3.1</vt:lpstr>
      <vt:lpstr>3.2</vt:lpstr>
      <vt:lpstr>3.3</vt:lpstr>
      <vt:lpstr>4.1</vt:lpstr>
      <vt:lpstr>4.2</vt:lpstr>
      <vt:lpstr>4.3</vt:lpstr>
      <vt:lpstr>Chart 4.3</vt:lpstr>
      <vt:lpstr>4.4</vt:lpstr>
      <vt:lpstr>4.5</vt:lpstr>
      <vt:lpstr>4.6</vt:lpstr>
      <vt:lpstr>4.7</vt:lpstr>
      <vt:lpstr> 5.1</vt:lpstr>
      <vt:lpstr>5.2 </vt:lpstr>
      <vt:lpstr>Chart 5.2</vt:lpstr>
      <vt:lpstr> 5.3</vt:lpstr>
      <vt:lpstr>6.1</vt:lpstr>
      <vt:lpstr>5.1</vt:lpstr>
      <vt:lpstr>5.2</vt:lpstr>
      <vt:lpstr> 6.2</vt:lpstr>
      <vt:lpstr>6.3</vt:lpstr>
      <vt:lpstr>2.7</vt:lpstr>
      <vt:lpstr>Chart 1.1</vt:lpstr>
      <vt:lpstr>Chart 1.2</vt:lpstr>
      <vt:lpstr>Chart 2.1 &amp; 2.2</vt:lpstr>
      <vt:lpstr>Chart 2.3</vt:lpstr>
      <vt:lpstr>Chart 2.6</vt:lpstr>
      <vt:lpstr>Chart 3.1</vt:lpstr>
      <vt:lpstr>Chart 3.2</vt:lpstr>
      <vt:lpstr>Chart 3.3</vt:lpstr>
      <vt:lpstr>Chart 4.1</vt:lpstr>
      <vt:lpstr>Chart 4.2</vt:lpstr>
      <vt:lpstr>Chart 4.7</vt:lpstr>
      <vt:lpstr>Chart 5.1</vt:lpstr>
      <vt:lpstr>Chart 6.1</vt:lpstr>
      <vt:lpstr>Chart 6.2</vt:lpstr>
      <vt:lpstr>' 6.2'!Print_Area</vt:lpstr>
      <vt:lpstr>'1.1'!Print_Area</vt:lpstr>
      <vt:lpstr>'1.5'!Print_Area</vt:lpstr>
      <vt:lpstr>'1.5.1'!Print_Area</vt:lpstr>
      <vt:lpstr>'3.1'!Print_Area</vt:lpstr>
      <vt:lpstr>'6.1'!Print_Area</vt:lpstr>
      <vt:lpstr>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Autoriti Monetari Brunei Darussalam</dc:creator>
  <cp:keywords/>
  <dc:description/>
  <cp:lastModifiedBy>Dr. Irene Yap Tsue Ing</cp:lastModifiedBy>
  <cp:revision/>
  <dcterms:created xsi:type="dcterms:W3CDTF">2012-12-30T07:53:55Z</dcterms:created>
  <dcterms:modified xsi:type="dcterms:W3CDTF">2025-10-30T02:31:35Z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0x010100B56E4E0CAE4E064CAEACB226D202E143</vt:lpwstr>
  </property>
  <property fmtid="{D5CDD505-2E9C-101B-9397-08002B2CF9AE}" pid="3" name="MediaServiceImageTags">
    <vt:lpwstr/>
  </property>
</Properties>
</file>